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 codeName="DieseArbeitsmappe" defaultThemeVersion="124226"/>
  <workbookProtection workbookPassword="D9BE" lockStructure="1"/>
  <bookViews>
    <workbookView xWindow="3555" yWindow="1260" windowWidth="18825" windowHeight="11370" tabRatio="792"/>
  </bookViews>
  <sheets>
    <sheet name="Data" sheetId="1" r:id="rId1"/>
    <sheet name="Parameters" sheetId="3" state="hidden" r:id="rId2"/>
    <sheet name="Item IDs" sheetId="4" state="hidden" r:id="rId3"/>
  </sheets>
  <definedNames>
    <definedName name="_xlnm._FilterDatabase" localSheetId="2" hidden="1">'Item IDs'!$B$4:$G$204</definedName>
    <definedName name="_ftn1" localSheetId="0">Data!#REF!</definedName>
    <definedName name="_ftnref1" localSheetId="0">Data!$C$127</definedName>
    <definedName name="AccountingStandard">Parameters!$E$74:$E$77</definedName>
    <definedName name="CheckBoxes1">Data!$K$23:$K$24,Data!$K$25:$K$27,Data!$K$29:$K$29,Data!$K$30:$K$35,Data!$K$43:$K$44,Data!$K$51:$K$53,Data!$K$55:$K$60,Data!$K$61,Data!$K$63:$K$64,Data!$K$69:$K$71,Data!$K$72,Data!$K$74:$K$75,Data!$K$79:$K$85,Data!#REF!</definedName>
    <definedName name="CheckBoxes2">Data!$K$92:$K$103,Data!#REF!,Data!$K$108,Data!$K$111:$K$112,Data!$K$118:$K$119,Data!$K$123:$K$124,Data!#REF!,Data!#REF!,Data!$K$130,Data!#REF!,Data!$K$138:$K$140,Data!$K$146:$K$147,Data!$K$149:$K$171</definedName>
    <definedName name="ChecksColumn">Data!$I:$K</definedName>
    <definedName name="ChecksResponses">Parameters!$E$79:$E$81</definedName>
    <definedName name="CountryCode">Parameters!$E$24:$E$45</definedName>
    <definedName name="PanelHeaders1">Data!$B$3:$O$3,Data!$B$20:$O$20,Data!$B$48:$O$48,Data!$B$88:$O$88,Data!$B$115:$O$115,Data!$B$132:$O$132,Data!$B$143:$O$143</definedName>
    <definedName name="PanelHeaders2">#REF!,#REF!,#REF!</definedName>
    <definedName name="_xlnm.Print_Area" localSheetId="0">Data!$B$2:$O$271</definedName>
    <definedName name="_xlnm.Print_Area" localSheetId="1">Parameters!$B$1:$J$95</definedName>
    <definedName name="ReportingCurrency">Parameters!$E$48:$E$67</definedName>
    <definedName name="ReportingDate">Parameters!$E$15:$E$22</definedName>
    <definedName name="ReportingUnit">Parameters!$E$69:$E$72</definedName>
  </definedNames>
  <calcPr calcId="152511"/>
</workbook>
</file>

<file path=xl/calcChain.xml><?xml version="1.0" encoding="utf-8"?>
<calcChain xmlns="http://schemas.openxmlformats.org/spreadsheetml/2006/main">
  <c r="B225" i="1" l="1"/>
  <c r="I263" i="1" l="1"/>
  <c r="I181" i="1" l="1"/>
  <c r="I179" i="1"/>
  <c r="I177" i="1"/>
  <c r="I180" i="1"/>
  <c r="I178" i="1"/>
  <c r="I220" i="1" l="1"/>
  <c r="I222" i="1"/>
  <c r="I221" i="1"/>
  <c r="I176" i="1"/>
  <c r="I219" i="1"/>
  <c r="I218" i="1"/>
  <c r="I269" i="1" s="1"/>
  <c r="I215" i="1"/>
  <c r="I214" i="1"/>
  <c r="I213" i="1"/>
  <c r="I212" i="1"/>
  <c r="I211" i="1"/>
  <c r="I210" i="1"/>
  <c r="I209" i="1"/>
  <c r="I208" i="1"/>
  <c r="I207" i="1"/>
  <c r="I206" i="1"/>
  <c r="I187" i="1"/>
  <c r="I186" i="1"/>
  <c r="I267" i="1" s="1"/>
  <c r="I185" i="1"/>
  <c r="I182" i="1"/>
  <c r="I162" i="1"/>
  <c r="I161" i="1"/>
  <c r="I164" i="1"/>
  <c r="I83" i="1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9" i="4"/>
  <c r="C118" i="4"/>
  <c r="C117" i="4"/>
  <c r="D117" i="4" s="1"/>
  <c r="C116" i="4"/>
  <c r="D116" i="4" s="1"/>
  <c r="C115" i="4"/>
  <c r="C114" i="4"/>
  <c r="F114" i="4" s="1"/>
  <c r="C113" i="4"/>
  <c r="D113" i="4" s="1"/>
  <c r="C112" i="4"/>
  <c r="D112" i="4" s="1"/>
  <c r="C111" i="4"/>
  <c r="F111" i="4" s="1"/>
  <c r="C110" i="4"/>
  <c r="E110" i="4" s="1"/>
  <c r="C109" i="4"/>
  <c r="C108" i="4"/>
  <c r="F108" i="4" s="1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C53" i="4"/>
  <c r="F53" i="4" s="1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C46" i="4"/>
  <c r="D46" i="4" s="1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6" i="4"/>
  <c r="D36" i="4" s="1"/>
  <c r="C35" i="4"/>
  <c r="D35" i="4" s="1"/>
  <c r="C34" i="4"/>
  <c r="F34" i="4" s="1"/>
  <c r="C33" i="4"/>
  <c r="F33" i="4" s="1"/>
  <c r="C32" i="4"/>
  <c r="E32" i="4" s="1"/>
  <c r="C31" i="4"/>
  <c r="E31" i="4" s="1"/>
  <c r="C30" i="4"/>
  <c r="D30" i="4" s="1"/>
  <c r="C29" i="4"/>
  <c r="F29" i="4" s="1"/>
  <c r="C28" i="4"/>
  <c r="E28" i="4" s="1"/>
  <c r="C27" i="4"/>
  <c r="E27" i="4" s="1"/>
  <c r="C26" i="4"/>
  <c r="E26" i="4" s="1"/>
  <c r="C25" i="4"/>
  <c r="D25" i="4" s="1"/>
  <c r="C24" i="4"/>
  <c r="E24" i="4" s="1"/>
  <c r="C23" i="4"/>
  <c r="D23" i="4" s="1"/>
  <c r="C22" i="4"/>
  <c r="C21" i="4"/>
  <c r="F21" i="4" s="1"/>
  <c r="C20" i="4"/>
  <c r="E20" i="4" s="1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I163" i="1"/>
  <c r="L217" i="1"/>
  <c r="L190" i="1"/>
  <c r="L184" i="1"/>
  <c r="K190" i="1"/>
  <c r="I190" i="1"/>
  <c r="E189" i="1"/>
  <c r="K217" i="1"/>
  <c r="I217" i="1"/>
  <c r="K184" i="1"/>
  <c r="I184" i="1"/>
  <c r="K168" i="1"/>
  <c r="I168" i="1"/>
  <c r="E167" i="1"/>
  <c r="K160" i="1"/>
  <c r="I160" i="1"/>
  <c r="I10" i="1"/>
  <c r="I108" i="1"/>
  <c r="I254" i="1"/>
  <c r="I135" i="1"/>
  <c r="I259" i="1" s="1"/>
  <c r="I155" i="1"/>
  <c r="I165" i="1"/>
  <c r="K175" i="1"/>
  <c r="I175" i="1"/>
  <c r="E227" i="1"/>
  <c r="E228" i="1"/>
  <c r="I228" i="1"/>
  <c r="I229" i="1"/>
  <c r="G191" i="1" s="1"/>
  <c r="I230" i="1"/>
  <c r="G192" i="1" s="1"/>
  <c r="I192" i="1"/>
  <c r="I231" i="1"/>
  <c r="G193" i="1" s="1"/>
  <c r="I193" i="1"/>
  <c r="I232" i="1"/>
  <c r="G95" i="1" s="1"/>
  <c r="I95" i="1"/>
  <c r="I233" i="1"/>
  <c r="G96" i="1" s="1"/>
  <c r="I195" i="1"/>
  <c r="I234" i="1"/>
  <c r="G97" i="1" s="1"/>
  <c r="I196" i="1"/>
  <c r="I235" i="1"/>
  <c r="G197" i="1" s="1"/>
  <c r="I197" i="1"/>
  <c r="I236" i="1"/>
  <c r="G99" i="1" s="1"/>
  <c r="I237" i="1"/>
  <c r="I199" i="1"/>
  <c r="I238" i="1"/>
  <c r="G101" i="1" s="1"/>
  <c r="I200" i="1"/>
  <c r="I239" i="1"/>
  <c r="I169" i="1"/>
  <c r="I240" i="1"/>
  <c r="G170" i="1" s="1"/>
  <c r="I204" i="1"/>
  <c r="I241" i="1"/>
  <c r="G205" i="1" s="1"/>
  <c r="I205" i="1"/>
  <c r="I100" i="1"/>
  <c r="I99" i="1"/>
  <c r="I98" i="1"/>
  <c r="I93" i="1"/>
  <c r="I124" i="1"/>
  <c r="I123" i="1"/>
  <c r="I126" i="1"/>
  <c r="I16" i="1"/>
  <c r="I17" i="1"/>
  <c r="N22" i="1"/>
  <c r="N107" i="1" s="1"/>
  <c r="L22" i="1"/>
  <c r="L134" i="1" s="1"/>
  <c r="I117" i="1"/>
  <c r="K117" i="1"/>
  <c r="I122" i="1"/>
  <c r="K122" i="1"/>
  <c r="I129" i="1"/>
  <c r="K129" i="1"/>
  <c r="I107" i="1"/>
  <c r="K107" i="1"/>
  <c r="I7" i="1"/>
  <c r="I25" i="1"/>
  <c r="I23" i="1"/>
  <c r="I125" i="1"/>
  <c r="I147" i="1"/>
  <c r="I52" i="1"/>
  <c r="I51" i="1"/>
  <c r="I59" i="1"/>
  <c r="I60" i="1"/>
  <c r="I242" i="1"/>
  <c r="G102" i="1" s="1"/>
  <c r="I201" i="1"/>
  <c r="I243" i="1"/>
  <c r="G202" i="1" s="1"/>
  <c r="E248" i="1"/>
  <c r="I9" i="1"/>
  <c r="I248" i="1"/>
  <c r="K157" i="1"/>
  <c r="I157" i="1"/>
  <c r="K145" i="1"/>
  <c r="I145" i="1"/>
  <c r="K137" i="1"/>
  <c r="I137" i="1"/>
  <c r="K134" i="1"/>
  <c r="I134" i="1"/>
  <c r="K110" i="1"/>
  <c r="I110" i="1"/>
  <c r="K91" i="1"/>
  <c r="I91" i="1"/>
  <c r="K78" i="1"/>
  <c r="I78" i="1"/>
  <c r="K68" i="1"/>
  <c r="I68" i="1"/>
  <c r="K50" i="1"/>
  <c r="I50" i="1"/>
  <c r="G22" i="1"/>
  <c r="I18" i="1"/>
  <c r="G11" i="1"/>
  <c r="I15" i="1"/>
  <c r="I14" i="1"/>
  <c r="I12" i="1"/>
  <c r="I8" i="1"/>
  <c r="I139" i="1"/>
  <c r="I138" i="1"/>
  <c r="I31" i="1"/>
  <c r="I32" i="1"/>
  <c r="I30" i="1"/>
  <c r="I158" i="1"/>
  <c r="I150" i="1"/>
  <c r="I149" i="1"/>
  <c r="I44" i="1"/>
  <c r="I154" i="1"/>
  <c r="I153" i="1"/>
  <c r="I152" i="1"/>
  <c r="I151" i="1"/>
  <c r="I140" i="1"/>
  <c r="I130" i="1"/>
  <c r="I258" i="1" s="1"/>
  <c r="I119" i="1"/>
  <c r="I118" i="1"/>
  <c r="I112" i="1"/>
  <c r="I111" i="1"/>
  <c r="I255" i="1" s="1"/>
  <c r="I85" i="1"/>
  <c r="I84" i="1"/>
  <c r="I82" i="1"/>
  <c r="I81" i="1"/>
  <c r="I80" i="1"/>
  <c r="I79" i="1"/>
  <c r="I75" i="1"/>
  <c r="I74" i="1"/>
  <c r="I72" i="1"/>
  <c r="I71" i="1"/>
  <c r="I70" i="1"/>
  <c r="I69" i="1"/>
  <c r="I64" i="1"/>
  <c r="I63" i="1"/>
  <c r="I61" i="1"/>
  <c r="I58" i="1"/>
  <c r="I57" i="1"/>
  <c r="I56" i="1"/>
  <c r="I55" i="1"/>
  <c r="I53" i="1"/>
  <c r="I43" i="1"/>
  <c r="I42" i="1"/>
  <c r="I41" i="1"/>
  <c r="I40" i="1"/>
  <c r="I39" i="1"/>
  <c r="I35" i="1"/>
  <c r="I34" i="1"/>
  <c r="I33" i="1"/>
  <c r="I29" i="1"/>
  <c r="I27" i="1"/>
  <c r="I26" i="1"/>
  <c r="I24" i="1"/>
  <c r="G2" i="1"/>
  <c r="E90" i="1"/>
  <c r="E9" i="3"/>
  <c r="D10" i="3"/>
  <c r="D11" i="3" s="1"/>
  <c r="N137" i="1"/>
  <c r="G204" i="1"/>
  <c r="I102" i="1"/>
  <c r="G203" i="1"/>
  <c r="G98" i="1"/>
  <c r="N122" i="1"/>
  <c r="L145" i="1"/>
  <c r="I191" i="1"/>
  <c r="C169" i="4"/>
  <c r="E169" i="4" s="1"/>
  <c r="C154" i="4"/>
  <c r="F154" i="4" s="1"/>
  <c r="C122" i="4"/>
  <c r="F122" i="4" s="1"/>
  <c r="C199" i="4"/>
  <c r="E199" i="4" s="1"/>
  <c r="C143" i="4"/>
  <c r="G137" i="4"/>
  <c r="C185" i="4"/>
  <c r="D185" i="4" s="1"/>
  <c r="G176" i="4"/>
  <c r="C133" i="4"/>
  <c r="D133" i="4" s="1"/>
  <c r="G164" i="4"/>
  <c r="C123" i="4"/>
  <c r="E123" i="4" s="1"/>
  <c r="C134" i="4"/>
  <c r="C145" i="4"/>
  <c r="F145" i="4" s="1"/>
  <c r="C157" i="4"/>
  <c r="C172" i="4"/>
  <c r="E172" i="4" s="1"/>
  <c r="C187" i="4"/>
  <c r="F187" i="4" s="1"/>
  <c r="C202" i="4"/>
  <c r="E202" i="4" s="1"/>
  <c r="G145" i="4"/>
  <c r="G185" i="4"/>
  <c r="C2" i="4"/>
  <c r="F2" i="4" s="1"/>
  <c r="C127" i="4"/>
  <c r="F127" i="4" s="1"/>
  <c r="C138" i="4"/>
  <c r="C149" i="4"/>
  <c r="D149" i="4" s="1"/>
  <c r="C161" i="4"/>
  <c r="C177" i="4"/>
  <c r="E177" i="4" s="1"/>
  <c r="C192" i="4"/>
  <c r="F192" i="4" s="1"/>
  <c r="G121" i="4"/>
  <c r="G153" i="4"/>
  <c r="G196" i="4"/>
  <c r="C129" i="4"/>
  <c r="C139" i="4"/>
  <c r="C150" i="4"/>
  <c r="D150" i="4" s="1"/>
  <c r="C164" i="4"/>
  <c r="E164" i="4" s="1"/>
  <c r="C180" i="4"/>
  <c r="D180" i="4" s="1"/>
  <c r="C195" i="4"/>
  <c r="E195" i="4" s="1"/>
  <c r="G129" i="4"/>
  <c r="G204" i="4"/>
  <c r="G124" i="4"/>
  <c r="G132" i="4"/>
  <c r="G140" i="4"/>
  <c r="G148" i="4"/>
  <c r="G156" i="4"/>
  <c r="G168" i="4"/>
  <c r="G177" i="4"/>
  <c r="G188" i="4"/>
  <c r="G200" i="4"/>
  <c r="C125" i="4"/>
  <c r="F125" i="4" s="1"/>
  <c r="C130" i="4"/>
  <c r="D130" i="4" s="1"/>
  <c r="C135" i="4"/>
  <c r="E135" i="4" s="1"/>
  <c r="C141" i="4"/>
  <c r="E141" i="4" s="1"/>
  <c r="C146" i="4"/>
  <c r="E146" i="4" s="1"/>
  <c r="C151" i="4"/>
  <c r="C158" i="4"/>
  <c r="E158" i="4" s="1"/>
  <c r="C165" i="4"/>
  <c r="E165" i="4" s="1"/>
  <c r="C173" i="4"/>
  <c r="C181" i="4"/>
  <c r="C188" i="4"/>
  <c r="D188" i="4" s="1"/>
  <c r="C196" i="4"/>
  <c r="C203" i="4"/>
  <c r="F203" i="4" s="1"/>
  <c r="G125" i="4"/>
  <c r="G133" i="4"/>
  <c r="G141" i="4"/>
  <c r="G149" i="4"/>
  <c r="G160" i="4"/>
  <c r="G169" i="4"/>
  <c r="G180" i="4"/>
  <c r="G192" i="4"/>
  <c r="G201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60" i="4"/>
  <c r="E160" i="4" s="1"/>
  <c r="C168" i="4"/>
  <c r="F168" i="4" s="1"/>
  <c r="C176" i="4"/>
  <c r="E176" i="4" s="1"/>
  <c r="C184" i="4"/>
  <c r="E184" i="4" s="1"/>
  <c r="C191" i="4"/>
  <c r="F191" i="4" s="1"/>
  <c r="C198" i="4"/>
  <c r="F198" i="4" s="1"/>
  <c r="G2" i="4"/>
  <c r="G128" i="4"/>
  <c r="G136" i="4"/>
  <c r="G144" i="4"/>
  <c r="G152" i="4"/>
  <c r="G161" i="4"/>
  <c r="G172" i="4"/>
  <c r="G184" i="4"/>
  <c r="G193" i="4"/>
  <c r="G197" i="4"/>
  <c r="G157" i="4"/>
  <c r="G165" i="4"/>
  <c r="G173" i="4"/>
  <c r="G181" i="4"/>
  <c r="G189" i="4"/>
  <c r="G203" i="4"/>
  <c r="G199" i="4"/>
  <c r="G195" i="4"/>
  <c r="G191" i="4"/>
  <c r="G187" i="4"/>
  <c r="G183" i="4"/>
  <c r="G179" i="4"/>
  <c r="G175" i="4"/>
  <c r="G171" i="4"/>
  <c r="G167" i="4"/>
  <c r="G163" i="4"/>
  <c r="G159" i="4"/>
  <c r="G155" i="4"/>
  <c r="G151" i="4"/>
  <c r="G147" i="4"/>
  <c r="G143" i="4"/>
  <c r="G139" i="4"/>
  <c r="G135" i="4"/>
  <c r="G131" i="4"/>
  <c r="G127" i="4"/>
  <c r="G123" i="4"/>
  <c r="I2" i="4"/>
  <c r="C201" i="4"/>
  <c r="F201" i="4" s="1"/>
  <c r="C194" i="4"/>
  <c r="D194" i="4" s="1"/>
  <c r="C190" i="4"/>
  <c r="C183" i="4"/>
  <c r="E183" i="4" s="1"/>
  <c r="C179" i="4"/>
  <c r="C175" i="4"/>
  <c r="C171" i="4"/>
  <c r="D171" i="4" s="1"/>
  <c r="C167" i="4"/>
  <c r="F167" i="4" s="1"/>
  <c r="C163" i="4"/>
  <c r="C156" i="4"/>
  <c r="D156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C124" i="4"/>
  <c r="C120" i="4"/>
  <c r="E120" i="4" s="1"/>
  <c r="G202" i="4"/>
  <c r="G198" i="4"/>
  <c r="G194" i="4"/>
  <c r="G190" i="4"/>
  <c r="G186" i="4"/>
  <c r="G182" i="4"/>
  <c r="G178" i="4"/>
  <c r="G174" i="4"/>
  <c r="G170" i="4"/>
  <c r="G166" i="4"/>
  <c r="G162" i="4"/>
  <c r="G158" i="4"/>
  <c r="G154" i="4"/>
  <c r="G150" i="4"/>
  <c r="G146" i="4"/>
  <c r="G142" i="4"/>
  <c r="G138" i="4"/>
  <c r="G134" i="4"/>
  <c r="G130" i="4"/>
  <c r="G126" i="4"/>
  <c r="G122" i="4"/>
  <c r="C204" i="4"/>
  <c r="E204" i="4" s="1"/>
  <c r="C200" i="4"/>
  <c r="E200" i="4" s="1"/>
  <c r="C197" i="4"/>
  <c r="D197" i="4" s="1"/>
  <c r="C193" i="4"/>
  <c r="E193" i="4" s="1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C166" i="4"/>
  <c r="C162" i="4"/>
  <c r="C159" i="4"/>
  <c r="D159" i="4" s="1"/>
  <c r="C155" i="4"/>
  <c r="I194" i="1"/>
  <c r="I198" i="1"/>
  <c r="I202" i="1"/>
  <c r="I94" i="1"/>
  <c r="I92" i="1"/>
  <c r="I96" i="1"/>
  <c r="I103" i="1"/>
  <c r="N78" i="1"/>
  <c r="I97" i="1"/>
  <c r="I101" i="1"/>
  <c r="G171" i="1"/>
  <c r="I203" i="1"/>
  <c r="I170" i="1"/>
  <c r="I171" i="1"/>
  <c r="G169" i="1"/>
  <c r="G196" i="1"/>
  <c r="I146" i="1"/>
  <c r="G148" i="1" s="1"/>
  <c r="I262" i="1" l="1"/>
  <c r="N228" i="1"/>
  <c r="N117" i="1"/>
  <c r="N190" i="1"/>
  <c r="N168" i="1"/>
  <c r="N50" i="1"/>
  <c r="N145" i="1"/>
  <c r="G194" i="1"/>
  <c r="N217" i="1"/>
  <c r="N129" i="1"/>
  <c r="N175" i="1"/>
  <c r="E258" i="1"/>
  <c r="G258" i="1" s="1"/>
  <c r="N110" i="1"/>
  <c r="N248" i="1"/>
  <c r="N157" i="1"/>
  <c r="G113" i="1"/>
  <c r="G92" i="1"/>
  <c r="G195" i="1"/>
  <c r="L117" i="1"/>
  <c r="L91" i="1"/>
  <c r="G76" i="1"/>
  <c r="I260" i="1"/>
  <c r="E254" i="1"/>
  <c r="G254" i="1" s="1"/>
  <c r="E255" i="1"/>
  <c r="G255" i="1" s="1"/>
  <c r="E251" i="1"/>
  <c r="G251" i="1" s="1"/>
  <c r="L50" i="1"/>
  <c r="L78" i="1"/>
  <c r="L157" i="1"/>
  <c r="L107" i="1"/>
  <c r="G37" i="1"/>
  <c r="G201" i="1"/>
  <c r="G127" i="1"/>
  <c r="E257" i="1" s="1"/>
  <c r="G257" i="1" s="1"/>
  <c r="L160" i="1"/>
  <c r="L122" i="1"/>
  <c r="L68" i="1"/>
  <c r="L168" i="1"/>
  <c r="G28" i="1"/>
  <c r="I252" i="1"/>
  <c r="L110" i="1"/>
  <c r="G198" i="1"/>
  <c r="I265" i="1"/>
  <c r="L137" i="1"/>
  <c r="L129" i="1"/>
  <c r="I264" i="1"/>
  <c r="N184" i="1"/>
  <c r="I250" i="1"/>
  <c r="G46" i="1"/>
  <c r="E249" i="1" s="1"/>
  <c r="G249" i="1" s="1"/>
  <c r="I249" i="1"/>
  <c r="G141" i="1"/>
  <c r="E260" i="1" s="1"/>
  <c r="G260" i="1" s="1"/>
  <c r="I253" i="1"/>
  <c r="G103" i="1"/>
  <c r="N91" i="1"/>
  <c r="N68" i="1"/>
  <c r="N134" i="1"/>
  <c r="G93" i="1"/>
  <c r="G66" i="1"/>
  <c r="E250" i="1" s="1"/>
  <c r="G250" i="1" s="1"/>
  <c r="N160" i="1"/>
  <c r="G94" i="1"/>
  <c r="I266" i="1"/>
  <c r="D114" i="4"/>
  <c r="F78" i="4"/>
  <c r="F58" i="4"/>
  <c r="E71" i="4"/>
  <c r="I268" i="1"/>
  <c r="E75" i="4"/>
  <c r="E30" i="4"/>
  <c r="E58" i="4"/>
  <c r="E96" i="4"/>
  <c r="F27" i="4"/>
  <c r="E82" i="4"/>
  <c r="F12" i="4"/>
  <c r="F149" i="4"/>
  <c r="F195" i="4"/>
  <c r="F158" i="4"/>
  <c r="D68" i="4"/>
  <c r="E61" i="4"/>
  <c r="D69" i="4"/>
  <c r="E18" i="4"/>
  <c r="F81" i="4"/>
  <c r="D110" i="4"/>
  <c r="F104" i="4"/>
  <c r="D27" i="4"/>
  <c r="D20" i="4"/>
  <c r="E185" i="4"/>
  <c r="F93" i="4"/>
  <c r="D96" i="4"/>
  <c r="D44" i="4"/>
  <c r="E45" i="4"/>
  <c r="F42" i="4"/>
  <c r="F67" i="4"/>
  <c r="F52" i="4"/>
  <c r="F120" i="4"/>
  <c r="F107" i="4"/>
  <c r="F64" i="4"/>
  <c r="D48" i="4"/>
  <c r="F44" i="4"/>
  <c r="E100" i="4"/>
  <c r="D45" i="4"/>
  <c r="F100" i="4"/>
  <c r="F169" i="4"/>
  <c r="F116" i="4"/>
  <c r="E39" i="4"/>
  <c r="E149" i="4"/>
  <c r="D142" i="4"/>
  <c r="F13" i="4"/>
  <c r="F159" i="4"/>
  <c r="F110" i="4"/>
  <c r="E21" i="4"/>
  <c r="F101" i="4"/>
  <c r="F24" i="4"/>
  <c r="D11" i="4"/>
  <c r="D19" i="4"/>
  <c r="F26" i="4"/>
  <c r="D52" i="4"/>
  <c r="F102" i="4"/>
  <c r="E137" i="4"/>
  <c r="E170" i="4"/>
  <c r="D169" i="4"/>
  <c r="F8" i="4"/>
  <c r="F123" i="4"/>
  <c r="D158" i="4"/>
  <c r="F35" i="4"/>
  <c r="D195" i="4"/>
  <c r="D104" i="4"/>
  <c r="D32" i="4"/>
  <c r="D21" i="4"/>
  <c r="F51" i="4"/>
  <c r="E101" i="4"/>
  <c r="F97" i="4"/>
  <c r="E88" i="4"/>
  <c r="E171" i="4"/>
  <c r="E57" i="4"/>
  <c r="D148" i="4"/>
  <c r="D200" i="4"/>
  <c r="D108" i="4"/>
  <c r="E182" i="4"/>
  <c r="F185" i="4"/>
  <c r="F32" i="4"/>
  <c r="E114" i="4"/>
  <c r="D141" i="4"/>
  <c r="D72" i="4"/>
  <c r="F141" i="4"/>
  <c r="D107" i="4"/>
  <c r="D184" i="4"/>
  <c r="E48" i="4"/>
  <c r="E81" i="4"/>
  <c r="E62" i="4"/>
  <c r="E125" i="4"/>
  <c r="D125" i="4"/>
  <c r="F20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29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F30" i="4"/>
  <c r="D26" i="4"/>
  <c r="D183" i="4"/>
  <c r="D53" i="4"/>
  <c r="E59" i="4"/>
  <c r="E36" i="4"/>
  <c r="F177" i="4"/>
  <c r="D145" i="4"/>
  <c r="F10" i="4"/>
  <c r="F197" i="4"/>
  <c r="E10" i="4"/>
  <c r="F150" i="4"/>
  <c r="F94" i="4"/>
  <c r="E72" i="4"/>
  <c r="D16" i="4"/>
  <c r="E142" i="4"/>
  <c r="E37" i="4"/>
  <c r="F28" i="4"/>
  <c r="E168" i="4"/>
  <c r="E46" i="4"/>
  <c r="D28" i="4"/>
  <c r="F69" i="4"/>
  <c r="F76" i="4"/>
  <c r="D18" i="4"/>
  <c r="D147" i="4"/>
  <c r="D102" i="4"/>
  <c r="F148" i="4"/>
  <c r="D160" i="4"/>
  <c r="E145" i="4"/>
  <c r="D34" i="4"/>
  <c r="E97" i="4"/>
  <c r="E116" i="4"/>
  <c r="E41" i="4"/>
  <c r="D94" i="4"/>
  <c r="E79" i="4"/>
  <c r="E111" i="4"/>
  <c r="D126" i="4"/>
  <c r="E68" i="4"/>
  <c r="E35" i="4"/>
  <c r="F40" i="4"/>
  <c r="E108" i="4"/>
  <c r="F137" i="4"/>
  <c r="E93" i="4"/>
  <c r="D75" i="4"/>
  <c r="F79" i="4"/>
  <c r="F62" i="4"/>
  <c r="F80" i="4"/>
  <c r="D13" i="4"/>
  <c r="D86" i="4"/>
  <c r="D29" i="4"/>
  <c r="E16" i="4"/>
  <c r="F160" i="4"/>
  <c r="D24" i="4"/>
  <c r="E189" i="4"/>
  <c r="D199" i="4"/>
  <c r="E42" i="4"/>
  <c r="D43" i="4"/>
  <c r="D131" i="4"/>
  <c r="D192" i="4"/>
  <c r="D12" i="4"/>
  <c r="F36" i="4"/>
  <c r="D76" i="4"/>
  <c r="F83" i="4"/>
  <c r="F86" i="4"/>
  <c r="D201" i="4"/>
  <c r="D120" i="4"/>
  <c r="E43" i="4"/>
  <c r="E40" i="4"/>
  <c r="F61" i="4"/>
  <c r="E150" i="4"/>
  <c r="D83" i="4"/>
  <c r="E34" i="4"/>
  <c r="D168" i="4"/>
  <c r="E197" i="4"/>
  <c r="F112" i="4"/>
  <c r="E203" i="4"/>
  <c r="D203" i="4"/>
  <c r="E138" i="4"/>
  <c r="D138" i="4"/>
  <c r="F138" i="4"/>
  <c r="D7" i="4"/>
  <c r="F7" i="4"/>
  <c r="D33" i="4"/>
  <c r="E33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F115" i="4"/>
  <c r="E115" i="4"/>
  <c r="E119" i="4"/>
  <c r="D119" i="4"/>
  <c r="D47" i="4"/>
  <c r="D98" i="4"/>
  <c r="F135" i="4"/>
  <c r="E9" i="4"/>
  <c r="F46" i="4"/>
  <c r="E173" i="4"/>
  <c r="D173" i="4"/>
  <c r="D157" i="4"/>
  <c r="F157" i="4"/>
  <c r="E157" i="4"/>
  <c r="F173" i="4"/>
  <c r="D190" i="4"/>
  <c r="F47" i="4"/>
  <c r="D41" i="4"/>
  <c r="D115" i="4"/>
  <c r="D135" i="4"/>
  <c r="F6" i="4"/>
  <c r="F155" i="4"/>
  <c r="D155" i="4"/>
  <c r="D124" i="4"/>
  <c r="F124" i="4"/>
  <c r="E124" i="4"/>
  <c r="F152" i="4"/>
  <c r="D152" i="4"/>
  <c r="D167" i="4"/>
  <c r="E167" i="4"/>
  <c r="F202" i="4"/>
  <c r="D202" i="4"/>
  <c r="D22" i="4"/>
  <c r="F22" i="4"/>
  <c r="E22" i="4"/>
  <c r="E25" i="4"/>
  <c r="F25" i="4"/>
  <c r="D31" i="4"/>
  <c r="F31" i="4"/>
  <c r="E54" i="4"/>
  <c r="D54" i="4"/>
  <c r="F54" i="4"/>
  <c r="E60" i="4"/>
  <c r="E63" i="4"/>
  <c r="D63" i="4"/>
  <c r="D70" i="4"/>
  <c r="F70" i="4"/>
  <c r="E92" i="4"/>
  <c r="D92" i="4"/>
  <c r="F92" i="4"/>
  <c r="F204" i="4"/>
  <c r="D204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18" i="4"/>
  <c r="D118" i="4"/>
  <c r="E118" i="4"/>
  <c r="F200" i="4"/>
  <c r="F126" i="4"/>
  <c r="F196" i="4"/>
  <c r="E196" i="4"/>
  <c r="E134" i="4"/>
  <c r="D134" i="4"/>
  <c r="F143" i="4"/>
  <c r="E143" i="4"/>
  <c r="F194" i="4"/>
  <c r="F162" i="4"/>
  <c r="D162" i="4"/>
  <c r="E162" i="4"/>
  <c r="E136" i="4"/>
  <c r="D136" i="4"/>
  <c r="F136" i="4"/>
  <c r="D139" i="4"/>
  <c r="F139" i="4"/>
  <c r="D161" i="4"/>
  <c r="E161" i="4"/>
  <c r="D123" i="4"/>
  <c r="E132" i="4"/>
  <c r="F171" i="4"/>
  <c r="E139" i="4"/>
  <c r="F134" i="4"/>
  <c r="E155" i="4"/>
  <c r="F166" i="4"/>
  <c r="E166" i="4"/>
  <c r="D166" i="4"/>
  <c r="D151" i="4"/>
  <c r="F151" i="4"/>
  <c r="E151" i="4"/>
  <c r="E180" i="4"/>
  <c r="F180" i="4"/>
  <c r="E122" i="4"/>
  <c r="D122" i="4"/>
  <c r="E191" i="4"/>
  <c r="D191" i="4"/>
  <c r="F121" i="4"/>
  <c r="D121" i="4"/>
  <c r="D132" i="4"/>
  <c r="E156" i="4"/>
  <c r="F156" i="4"/>
  <c r="D165" i="4"/>
  <c r="D153" i="4"/>
  <c r="F165" i="4"/>
  <c r="D179" i="4"/>
  <c r="F179" i="4"/>
  <c r="E179" i="4"/>
  <c r="E194" i="4"/>
  <c r="E198" i="4"/>
  <c r="D198" i="4"/>
  <c r="F153" i="4"/>
  <c r="E121" i="4"/>
  <c r="D196" i="4"/>
  <c r="D146" i="4"/>
  <c r="F146" i="4"/>
  <c r="E130" i="4"/>
  <c r="F130" i="4"/>
  <c r="D164" i="4"/>
  <c r="F164" i="4"/>
  <c r="E133" i="4"/>
  <c r="F133" i="4"/>
  <c r="D143" i="4"/>
  <c r="G175" i="1"/>
  <c r="G107" i="1"/>
  <c r="G110" i="1"/>
  <c r="E147" i="4"/>
  <c r="D88" i="4"/>
  <c r="E192" i="4"/>
  <c r="E201" i="4"/>
  <c r="E159" i="4"/>
  <c r="D80" i="4"/>
  <c r="E188" i="4"/>
  <c r="F188" i="4"/>
  <c r="D91" i="4"/>
  <c r="E5" i="4"/>
  <c r="F9" i="4"/>
  <c r="E19" i="4"/>
  <c r="F37" i="4"/>
  <c r="F39" i="4"/>
  <c r="E51" i="4"/>
  <c r="E53" i="4"/>
  <c r="G117" i="1"/>
  <c r="G134" i="1"/>
  <c r="G137" i="1"/>
  <c r="G189" i="1"/>
  <c r="F176" i="4"/>
  <c r="D172" i="4"/>
  <c r="D181" i="4"/>
  <c r="E87" i="4"/>
  <c r="D111" i="4"/>
  <c r="D129" i="4"/>
  <c r="F119" i="4"/>
  <c r="G200" i="1"/>
  <c r="G120" i="1"/>
  <c r="E256" i="1" s="1"/>
  <c r="G256" i="1" s="1"/>
  <c r="I256" i="1"/>
  <c r="F85" i="4"/>
  <c r="D85" i="4"/>
  <c r="E117" i="4"/>
  <c r="F117" i="4"/>
  <c r="G90" i="1"/>
  <c r="G129" i="1"/>
  <c r="G217" i="1"/>
  <c r="G122" i="1"/>
  <c r="D176" i="4"/>
  <c r="G50" i="1"/>
  <c r="F172" i="4"/>
  <c r="D193" i="4"/>
  <c r="E259" i="1"/>
  <c r="G259" i="1" s="1"/>
  <c r="G167" i="1"/>
  <c r="D154" i="4"/>
  <c r="F87" i="4"/>
  <c r="F174" i="4"/>
  <c r="I257" i="1"/>
  <c r="I270" i="1"/>
  <c r="E128" i="4"/>
  <c r="F128" i="4"/>
  <c r="F163" i="4"/>
  <c r="E163" i="4"/>
  <c r="D163" i="4"/>
  <c r="I251" i="1"/>
  <c r="G86" i="1"/>
  <c r="E252" i="1" s="1"/>
  <c r="G252" i="1" s="1"/>
  <c r="G199" i="1"/>
  <c r="G100" i="1"/>
  <c r="D103" i="4"/>
  <c r="F103" i="4"/>
  <c r="E103" i="4"/>
  <c r="G78" i="1"/>
  <c r="G184" i="1"/>
  <c r="F161" i="4"/>
  <c r="F193" i="4"/>
  <c r="G68" i="1"/>
  <c r="E144" i="4"/>
  <c r="D144" i="4"/>
  <c r="G160" i="1"/>
  <c r="E95" i="4"/>
  <c r="G145" i="1"/>
  <c r="F71" i="4"/>
  <c r="E154" i="4"/>
  <c r="D174" i="4"/>
  <c r="F95" i="4"/>
  <c r="F199" i="4"/>
  <c r="F65" i="4"/>
  <c r="D65" i="4"/>
  <c r="D89" i="4"/>
  <c r="F89" i="4"/>
  <c r="F113" i="4"/>
  <c r="E113" i="4"/>
  <c r="G104" i="1" l="1"/>
  <c r="E253" i="1" s="1"/>
  <c r="G253" i="1" s="1"/>
</calcChain>
</file>

<file path=xl/sharedStrings.xml><?xml version="1.0" encoding="utf-8"?>
<sst xmlns="http://schemas.openxmlformats.org/spreadsheetml/2006/main" count="599" uniqueCount="507">
  <si>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</si>
  <si>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</si>
  <si>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</si>
  <si>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</si>
  <si>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</si>
  <si>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</si>
  <si>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</si>
  <si>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</si>
  <si>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</si>
  <si>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</si>
  <si>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</si>
  <si>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</si>
  <si>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</si>
  <si>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</si>
  <si>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</si>
  <si>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</si>
  <si>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</si>
  <si>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</si>
  <si>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</si>
  <si>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</si>
  <si>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</si>
  <si>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</si>
  <si>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</si>
  <si>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</si>
  <si>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</si>
  <si>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</si>
  <si>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</si>
  <si>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</si>
  <si>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</si>
  <si>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</si>
  <si>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</si>
  <si>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</si>
  <si>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</si>
  <si>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</si>
  <si>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</si>
  <si>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</si>
  <si>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</si>
  <si>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</si>
  <si>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</si>
  <si>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</si>
  <si>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</si>
  <si>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</si>
  <si>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</si>
  <si>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</si>
  <si>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</si>
  <si>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</si>
  <si>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</si>
  <si>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</si>
  <si>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</si>
  <si>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</si>
  <si>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</si>
  <si>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</si>
  <si>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</si>
  <si>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</si>
  <si>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</si>
  <si>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</si>
  <si>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</si>
  <si>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</si>
  <si>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</si>
  <si>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</si>
  <si>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</si>
  <si>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</si>
  <si>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</si>
  <si>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</si>
  <si>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</si>
  <si>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</si>
  <si>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</si>
  <si>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</si>
  <si>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</si>
  <si>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a. Deposits due to depository institutions</t>
  </si>
  <si>
    <t>b. Deposits due to non-depository financial institutions</t>
  </si>
  <si>
    <t>2.b.</t>
  </si>
  <si>
    <t>2.c.</t>
  </si>
  <si>
    <t>2.d.</t>
  </si>
  <si>
    <t>2.e.</t>
  </si>
  <si>
    <t>2.g.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</si>
  <si>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</si>
  <si>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</si>
  <si>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</si>
  <si>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</si>
  <si>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</si>
  <si>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</si>
  <si>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</si>
  <si>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</si>
  <si>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</si>
  <si>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</si>
  <si>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b. Gross value of securities financing transactions (SFTs)</t>
  </si>
  <si>
    <t>c. Counterparty exposure of SFTs</t>
  </si>
  <si>
    <t>d. Other assets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</si>
  <si>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</si>
  <si>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</si>
  <si>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</si>
  <si>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</si>
  <si>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</si>
  <si>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</si>
  <si>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</si>
  <si>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</si>
  <si>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</si>
  <si>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</si>
  <si>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</si>
  <si>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</si>
  <si>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</si>
  <si>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</si>
  <si>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</si>
  <si>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</si>
  <si>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</si>
  <si>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</si>
  <si>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</si>
  <si>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4.a.</t>
  </si>
  <si>
    <t>4.b.</t>
  </si>
  <si>
    <t>4.c.</t>
  </si>
  <si>
    <t>4.d.</t>
  </si>
  <si>
    <t>4.e.(1)</t>
  </si>
  <si>
    <t>4.e.(2)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</si>
  <si>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</si>
  <si>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</si>
  <si>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</si>
  <si>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</si>
  <si>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</si>
  <si>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</si>
  <si>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</si>
  <si>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</si>
  <si>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</si>
  <si>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l. Entities consolidated for accounting purposes but not for risk-based regulatory purposes:</t>
  </si>
  <si>
    <t>m. Regulatory adjustments</t>
  </si>
  <si>
    <t>2.g.(1)</t>
  </si>
  <si>
    <t>2.g.(2)</t>
  </si>
  <si>
    <t>2.h.</t>
  </si>
  <si>
    <t>2.i.</t>
  </si>
  <si>
    <t>2.j.</t>
  </si>
  <si>
    <t>2.k.</t>
  </si>
  <si>
    <t>2.l.(1)</t>
  </si>
  <si>
    <t>2.l.(2)</t>
  </si>
  <si>
    <t>2.l.(3)</t>
  </si>
  <si>
    <t>2.l.(4)</t>
  </si>
  <si>
    <t>2.l.(5)</t>
  </si>
  <si>
    <t>2.m.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</si>
  <si>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</si>
  <si>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</si>
  <si>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</si>
  <si>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</si>
  <si>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</si>
  <si>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</si>
  <si>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</si>
  <si>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</si>
  <si>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</si>
  <si>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</si>
  <si>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</si>
  <si>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</si>
  <si>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>6.l.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</si>
  <si>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</si>
  <si>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</si>
  <si>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</si>
  <si>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</si>
  <si>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</si>
  <si>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</si>
  <si>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</si>
  <si>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</si>
  <si>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</si>
  <si>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</si>
  <si>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</si>
  <si>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</si>
  <si>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</si>
  <si>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</si>
  <si>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</si>
  <si>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</si>
  <si>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</si>
  <si>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</si>
  <si>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</si>
  <si>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</si>
  <si>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</si>
  <si>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</si>
  <si>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</si>
  <si>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</si>
  <si>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</si>
  <si>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</si>
  <si>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</si>
  <si>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</si>
  <si>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</si>
  <si>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</si>
  <si>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</si>
  <si>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</si>
  <si>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</si>
  <si>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</si>
  <si>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</si>
  <si>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</si>
  <si>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</si>
  <si>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</si>
  <si>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</si>
  <si>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</si>
  <si>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</si>
  <si>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</si>
  <si>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</si>
  <si>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</si>
  <si>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</si>
  <si>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</si>
  <si>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</si>
  <si>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</si>
  <si>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</si>
  <si>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g. Gross value of cash lent and gross fair value of securities lent in SFTs</t>
  </si>
  <si>
    <t>Amount in single units</t>
  </si>
  <si>
    <t>(1) Any foreign liabilities to related offices included in item 13.a.</t>
  </si>
  <si>
    <t>10.b.</t>
  </si>
  <si>
    <t>2.a.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</si>
  <si>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</si>
  <si>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</si>
  <si>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</si>
  <si>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</si>
  <si>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</si>
  <si>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</si>
  <si>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</si>
  <si>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</si>
  <si>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</si>
  <si>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</si>
  <si>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</si>
  <si>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</si>
  <si>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</si>
  <si>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</si>
  <si>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</si>
  <si>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</si>
  <si>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</si>
  <si>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</si>
  <si>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</si>
  <si>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</si>
  <si>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</si>
  <si>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</si>
  <si>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</si>
  <si>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</si>
  <si>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</si>
  <si>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</si>
  <si>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Swedish krona</t>
  </si>
  <si>
    <t>l. United States dollars</t>
  </si>
  <si>
    <t>(2) New Zealand dollars</t>
  </si>
  <si>
    <t>Reported in</t>
  </si>
  <si>
    <t>(1) Mexican pesos</t>
  </si>
  <si>
    <t>(3) Russian rubles</t>
  </si>
  <si>
    <t>k. Mexican pesos</t>
  </si>
  <si>
    <t>l. New Zealand dollars</t>
  </si>
  <si>
    <t>m. Russian rubles</t>
  </si>
  <si>
    <t>n. Swedish krona</t>
  </si>
  <si>
    <t>o. United States dollars</t>
  </si>
  <si>
    <t>15.a.</t>
  </si>
  <si>
    <t>15.b.</t>
  </si>
  <si>
    <t>15.c.</t>
  </si>
  <si>
    <t>15.d.</t>
  </si>
  <si>
    <t>15.e.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</si>
  <si>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</si>
  <si>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</si>
  <si>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</si>
  <si>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</si>
  <si>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End-2014 G-SIB Assessment Exercise</t>
  </si>
  <si>
    <t>(1) Australian dollars</t>
  </si>
  <si>
    <t>(2) Brazilian real</t>
  </si>
  <si>
    <t>(3) Canadian dollars</t>
  </si>
  <si>
    <t>(4) Swiss francs</t>
  </si>
  <si>
    <t>(5) Chinese yuan</t>
  </si>
  <si>
    <t>(6) Euros</t>
  </si>
  <si>
    <t>(7) British pounds</t>
  </si>
  <si>
    <t>(8) Hong Kong dollars</t>
  </si>
  <si>
    <t>(9) Indian rupee</t>
  </si>
  <si>
    <t>(10) Japanese yen</t>
  </si>
  <si>
    <t>(11) Swedish krona</t>
  </si>
  <si>
    <t>(12) United States dollars</t>
  </si>
  <si>
    <t>End-2014</t>
  </si>
  <si>
    <t>(13) Mexican pesos</t>
  </si>
  <si>
    <t>(14) New Zealand dollars</t>
  </si>
  <si>
    <t>(15) Russian rubles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</si>
  <si>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</si>
  <si>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</si>
  <si>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</si>
  <si>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</si>
  <si>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</si>
  <si>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</si>
  <si>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</si>
  <si>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</si>
  <si>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</si>
  <si>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</si>
  <si>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</si>
  <si>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</si>
  <si>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</si>
  <si>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</si>
  <si>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</si>
  <si>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</si>
  <si>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</si>
  <si>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a. Counterparty exposure of derivatives contracts</t>
  </si>
  <si>
    <t>f. Potential future exposure of derivative contracts</t>
  </si>
  <si>
    <t>e. Total on-balance-sheet items (sum of items 2.a, 2.b, 2.c, and 2.d, minus 2.d.(1))</t>
  </si>
  <si>
    <t>(1) On-balance-sheet assets</t>
  </si>
  <si>
    <t>(4) Other off-balance-sheet commitments</t>
  </si>
  <si>
    <t>k. Total off-balance-sheet items (sum of items 2.f, 2.g, and 2.h through 2.j, minus 0.9 times the sum of items 2.g.(1) and 2.g.(2))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</si>
  <si>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</si>
  <si>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</si>
  <si>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</si>
  <si>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</si>
  <si>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</si>
  <si>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</si>
  <si>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</si>
  <si>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</si>
  <si>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</si>
  <si>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</si>
  <si>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(1) Item 1.a - General information provided by the supervisory authority</t>
    <phoneticPr fontId="5" type="noConversion"/>
  </si>
  <si>
    <t>j. Gross negative fair value of OTC derivatives transactions</t>
    <phoneticPr fontId="5" type="noConversion"/>
  </si>
  <si>
    <t>a. Assets under custody indicator</t>
    <phoneticPr fontId="5" type="noConversion"/>
  </si>
  <si>
    <t>a. General information provided by the relevant supervisory authority:</t>
    <phoneticPr fontId="5" type="noConversion"/>
  </si>
  <si>
    <t>n. Total exposures indicator (sum of items 2.e, 2.k, 2.l.(1), 2.l.(2), 0.1 times 2.l.(3), 2.l.(4), minus the sum of items 2.l.(5) and 2.m)</t>
    <phoneticPr fontId="5" type="noConversion"/>
  </si>
  <si>
    <t>2.n.</t>
    <phoneticPr fontId="5" type="noConversion"/>
  </si>
  <si>
    <t>f. Intra-financial system liabilities indicator (sum of items 4.a through 4.e.(2))</t>
    <phoneticPr fontId="5" type="noConversion"/>
  </si>
  <si>
    <t>4.f.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</si>
  <si>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</si>
  <si>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</si>
  <si>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6.m.</t>
    <phoneticPr fontId="5" type="noConversion"/>
  </si>
  <si>
    <t>m. Payments activity indicator (sum of items 6.a through 6.l)</t>
    <phoneticPr fontId="5" type="noConversion"/>
  </si>
  <si>
    <t>7.a.</t>
    <phoneticPr fontId="5" type="noConversion"/>
  </si>
  <si>
    <t>8.c.</t>
    <phoneticPr fontId="5" type="noConversion"/>
  </si>
  <si>
    <t>c. Underwriting activity indicator (sum of items 8.a and 8.b)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</si>
  <si>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</si>
  <si>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</si>
  <si>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</si>
  <si>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</si>
  <si>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14.i.</t>
    <phoneticPr fontId="5" type="noConversion"/>
  </si>
  <si>
    <t>14.j.</t>
    <phoneticPr fontId="5" type="noConversion"/>
  </si>
  <si>
    <t>12.a.</t>
    <phoneticPr fontId="5" type="noConversion"/>
  </si>
  <si>
    <t>Memorandum Items</t>
  </si>
  <si>
    <t>Ancillary Data</t>
  </si>
  <si>
    <t>Comments Regarding Data Quality/Availability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</si>
  <si>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</si>
  <si>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</si>
  <si>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</si>
  <si>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</si>
  <si>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</si>
  <si>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</si>
  <si>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</si>
  <si>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</si>
  <si>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</si>
  <si>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</si>
  <si>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</si>
  <si>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</si>
  <si>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</si>
  <si>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</si>
  <si>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</si>
  <si>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</si>
  <si>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</si>
  <si>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</si>
  <si>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</si>
  <si>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</si>
  <si>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</si>
  <si>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</si>
  <si>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21.a.</t>
  </si>
  <si>
    <t>21.b.</t>
  </si>
  <si>
    <t>21.c.</t>
  </si>
  <si>
    <t>21.d.</t>
  </si>
  <si>
    <t>21.e.</t>
  </si>
  <si>
    <t>21.f.</t>
  </si>
  <si>
    <t>21.g.</t>
  </si>
  <si>
    <t>21.h.</t>
  </si>
  <si>
    <t>21.i.</t>
  </si>
  <si>
    <t>21.j.</t>
  </si>
  <si>
    <t>21.k.</t>
  </si>
  <si>
    <t>21.l.</t>
  </si>
  <si>
    <t>21.m.(1)</t>
  </si>
  <si>
    <t>21.m.(2)</t>
  </si>
  <si>
    <t>21.m.(3)</t>
  </si>
  <si>
    <t>21.m.(4)</t>
  </si>
  <si>
    <t>21.m.(5)</t>
  </si>
  <si>
    <t>a. Book value of equities for which a market price is unavailable</t>
  </si>
  <si>
    <t>b. Certificates of mutual banks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</si>
  <si>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</si>
  <si>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</si>
  <si>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</si>
  <si>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</si>
  <si>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</si>
  <si>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</si>
  <si>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</si>
  <si>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</si>
  <si>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</si>
  <si>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</si>
  <si>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</si>
  <si>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</si>
  <si>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</si>
  <si>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</si>
  <si>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</si>
  <si>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</si>
  <si>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</si>
  <si>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18.b.</t>
  </si>
  <si>
    <t>b  Trading volume of securities issued by sovereigns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</si>
  <si>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</si>
  <si>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</si>
  <si>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</si>
  <si>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</si>
  <si>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18.c.</t>
  </si>
  <si>
    <t>18.d.</t>
  </si>
  <si>
    <t>18.e.</t>
  </si>
  <si>
    <t>18.f.</t>
  </si>
  <si>
    <t>18.g.</t>
  </si>
  <si>
    <t>18.h.</t>
  </si>
  <si>
    <t>18.i.</t>
  </si>
  <si>
    <t>a. Foreign derivative claims on an ultimate risk basis</t>
  </si>
  <si>
    <t>b. Foreign derivative liabilities (aggregation of BIS locational statistics)</t>
  </si>
  <si>
    <t>c. Foreign liabilities on an immediate risk basis (including derivatives)</t>
  </si>
  <si>
    <t>d. Foreign derivative liabilities on an immediate risk basis</t>
  </si>
  <si>
    <t>e. Foreign debt security liabilities on an immediate risk basis</t>
  </si>
  <si>
    <t>19.a.</t>
  </si>
  <si>
    <t>19.b.</t>
  </si>
  <si>
    <t>19.c.</t>
  </si>
  <si>
    <t>19.d.</t>
  </si>
  <si>
    <t>19.e.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</si>
  <si>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</si>
  <si>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</si>
  <si>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</si>
  <si>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</si>
  <si>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(8) Section 19 - Cross-Jurisdictional Activity Items</t>
  </si>
  <si>
    <t>(9) Section 20 - Average Exchange Rates</t>
  </si>
  <si>
    <t>21.m.(6)</t>
  </si>
  <si>
    <t>21.m.(7)</t>
  </si>
  <si>
    <t>21.m.(8)</t>
  </si>
  <si>
    <t>21.m.(9)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</si>
  <si>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</si>
  <si>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</si>
  <si>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</si>
  <si>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</si>
  <si>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</si>
  <si>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</si>
  <si>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</si>
  <si>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</si>
  <si>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</si>
  <si>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</si>
  <si>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</si>
  <si>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</si>
  <si>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</si>
  <si>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</si>
  <si>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</si>
  <si>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</si>
  <si>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</si>
  <si>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</si>
  <si>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Section 19 - Cross-Jurisdictional Activity Items</t>
  </si>
  <si>
    <t>Section 20 - Average Exchange Rates</t>
  </si>
  <si>
    <t>Section 21 - Indicator Values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</si>
  <si>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</si>
  <si>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</si>
  <si>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</si>
  <si>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</si>
  <si>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</si>
  <si>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</si>
  <si>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</si>
  <si>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Level 3 assets indicator (Assets valued using Level 3 measurement inputs)</t>
  </si>
  <si>
    <t>a. Cross-jurisdictional claims indicator (Total foreign claims on an ultimate risk basis)</t>
  </si>
  <si>
    <t>a. Total exposures prior to regulatory adjustments (January 2014 definition)</t>
  </si>
  <si>
    <t>b. Total exposures for the calculation of the leverage ratio (January 2014 definition)</t>
  </si>
  <si>
    <t>15.f.(1)</t>
  </si>
  <si>
    <t>15.f.(2)</t>
  </si>
  <si>
    <t>15.f.(3)</t>
  </si>
  <si>
    <t>d. Certificates of deposit included in items 4.a and 4.b</t>
  </si>
  <si>
    <t>e. Held-to-maturity securities</t>
  </si>
  <si>
    <t>f. Payments made in the reporting year</t>
  </si>
  <si>
    <t>18.a.(14)</t>
  </si>
  <si>
    <t>g. Notional amount of off-balance-sheet items with a 0% credit conversion factor</t>
  </si>
  <si>
    <t>h. Notional amount of off-balance-sheet items with a 20% credit conversion factor</t>
  </si>
  <si>
    <t>i. Notional amount of off-balance-sheet items with a 50% credit conversion factor</t>
  </si>
  <si>
    <t>j. Notional amount of off-balance-sheet items with a 100% credit conversion factor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</si>
  <si>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</si>
  <si>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</si>
  <si>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</si>
  <si>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</si>
  <si>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</si>
  <si>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</si>
  <si>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</si>
  <si>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</si>
  <si>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c. Unused portion of committed lines obtained from other financial institutions</t>
  </si>
  <si>
    <t>e. Over-the-counter derivatives with other financial institutions that have a net negative fair value:</t>
  </si>
  <si>
    <t>c. Loans obtained from other financial institutions</t>
  </si>
  <si>
    <t>a. Payments made as a correspondent for other banks</t>
  </si>
  <si>
    <t>d. Net positive current exposure of securities financing transactions with other financial institutions</t>
  </si>
  <si>
    <t>d. Net negative current exposure of securities financing transactions with other financial institutions</t>
  </si>
  <si>
    <t>g. Total exposures including investments in insurance subs outside the regulatory scope of consolidation</t>
  </si>
  <si>
    <t>16.g.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</si>
  <si>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</si>
  <si>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</si>
  <si>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</si>
  <si>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</si>
  <si>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</si>
  <si>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&lt;&lt;Does the total include insurance subsidiaries?&gt;&gt;</t>
  </si>
  <si>
    <t>&lt;&lt;What types of transactions were netted out?&gt;&gt;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</si>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</sst>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(* #,##0.00_);_(* \(#,##0.00\);_(* &quot;-&quot;??_);_(@_)"/>
    <numFmt numFmtId="165" formatCode="[$€-2]\ #,##0"/>
    <numFmt numFmtId="166" formatCode="[$JPY]\ #,##0"/>
    <numFmt numFmtId="167" formatCode="[$CNY]\ #,##0"/>
    <numFmt numFmtId="168" formatCode="[$HKD]\ #,##0"/>
    <numFmt numFmtId="169" formatCode="[$INR]\ #,##0"/>
    <numFmt numFmtId="170" formatCode="[$BRL]\ #,##0"/>
    <numFmt numFmtId="171" formatCode="[$USD]\ #,##0"/>
    <numFmt numFmtId="172" formatCode="[$EUR]\ #,##0"/>
    <numFmt numFmtId="173" formatCode="[$GBP]\ #,##0"/>
    <numFmt numFmtId="174" formatCode="[$AUD]\ #,##0"/>
    <numFmt numFmtId="175" formatCode="[$CAD]\ #,##0"/>
    <numFmt numFmtId="176" formatCode="[$SEK]\ #,##0"/>
    <numFmt numFmtId="177" formatCode="[$CHF]\ #,##0"/>
    <numFmt numFmtId="178" formatCode="[$MXN]\ #,##0"/>
    <numFmt numFmtId="179" formatCode="[$NZD]\ #,##0"/>
    <numFmt numFmtId="180" formatCode="[$RUB]\ #,##0"/>
    <numFmt numFmtId="181" formatCode="yyyy\-mm\-dd"/>
    <numFmt numFmtId="182" formatCode="_(* #,##0_);_(* \(#,##0\);_(* &quot;-&quot;??_);_(@_)"/>
    <numFmt numFmtId="183" formatCode="mmmm\ yyyy"/>
    <numFmt numFmtId="184" formatCode="#,##0.000000000"/>
  </numFmts>
  <fonts count="15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B8B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</cellStyleXfs>
  <cellXfs count="327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2" fillId="2" borderId="0" xfId="8" applyFont="1" applyFill="1" applyBorder="1" applyProtection="1"/>
    <xf numFmtId="0" fontId="2" fillId="2" borderId="0" xfId="8" applyFill="1" applyBorder="1" applyProtection="1"/>
    <xf numFmtId="0" fontId="0" fillId="0" borderId="0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 applyProtection="1">
      <alignment horizontal="left" indent="1"/>
    </xf>
    <xf numFmtId="0" fontId="0" fillId="2" borderId="0" xfId="0" applyFont="1" applyBorder="1" applyAlignment="1" applyProtection="1">
      <alignment horizontal="center"/>
    </xf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3" fillId="2" borderId="0" xfId="0" applyFont="1" applyBorder="1" applyAlignment="1" applyProtection="1">
      <alignment horizontal="center" vertical="center" wrapTex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vertical="center"/>
    </xf>
    <xf numFmtId="182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3" fontId="1" fillId="0" borderId="14" xfId="0" applyNumberFormat="1" applyFont="1" applyFill="1" applyBorder="1" applyAlignment="1" applyProtection="1">
      <alignment horizontal="right" vertical="center"/>
    </xf>
    <xf numFmtId="0" fontId="0" fillId="6" borderId="14" xfId="0" applyFill="1" applyBorder="1" applyAlignment="1" applyProtection="1">
      <alignment horizontal="center" vertical="center" wrapText="1"/>
    </xf>
    <xf numFmtId="3" fontId="1" fillId="0" borderId="14" xfId="3" applyBorder="1" applyProtection="1">
      <alignment horizontal="right" vertical="center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0" fontId="5" fillId="6" borderId="14" xfId="2" applyFont="1" applyFill="1" applyBorder="1" applyAlignment="1" applyProtection="1">
      <alignment horizontal="center" vertical="center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0" fillId="0" borderId="18" xfId="0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81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0" fontId="3" fillId="8" borderId="22" xfId="0" applyNumberFormat="1" applyFont="1" applyFill="1" applyBorder="1" applyAlignment="1" applyProtection="1">
      <alignment vertical="center"/>
    </xf>
    <xf numFmtId="0" fontId="3" fillId="8" borderId="23" xfId="0" applyNumberFormat="1" applyFont="1" applyFill="1" applyBorder="1" applyAlignment="1" applyProtection="1">
      <alignment horizontal="righ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174" fontId="0" fillId="9" borderId="14" xfId="0" applyNumberFormat="1" applyFont="1" applyFill="1" applyBorder="1" applyAlignment="1" applyProtection="1">
      <alignment horizontal="right" vertical="center"/>
      <protection locked="0"/>
    </xf>
    <xf numFmtId="3" fontId="1" fillId="6" borderId="14" xfId="5" applyNumberFormat="1" applyFont="1" applyFill="1" applyBorder="1" applyAlignment="1" applyProtection="1">
      <alignment horizontal="right" vertical="center"/>
    </xf>
    <xf numFmtId="170" fontId="0" fillId="9" borderId="14" xfId="0" applyNumberFormat="1" applyFont="1" applyFill="1" applyBorder="1" applyAlignment="1" applyProtection="1">
      <alignment horizontal="right" vertical="center"/>
      <protection locked="0"/>
    </xf>
    <xf numFmtId="175" fontId="0" fillId="9" borderId="14" xfId="0" applyNumberFormat="1" applyFont="1" applyFill="1" applyBorder="1" applyAlignment="1" applyProtection="1">
      <alignment horizontal="right" vertical="center"/>
      <protection locked="0"/>
    </xf>
    <xf numFmtId="177" fontId="0" fillId="9" borderId="14" xfId="0" applyNumberFormat="1" applyFont="1" applyFill="1" applyBorder="1" applyAlignment="1" applyProtection="1">
      <alignment horizontal="right" vertical="center"/>
      <protection locked="0"/>
    </xf>
    <xf numFmtId="167" fontId="0" fillId="9" borderId="14" xfId="0" applyNumberFormat="1" applyFont="1" applyFill="1" applyBorder="1" applyAlignment="1" applyProtection="1">
      <alignment horizontal="right" vertical="center"/>
      <protection locked="0"/>
    </xf>
    <xf numFmtId="172" fontId="0" fillId="9" borderId="14" xfId="0" applyNumberFormat="1" applyFont="1" applyFill="1" applyBorder="1" applyAlignment="1" applyProtection="1">
      <alignment horizontal="right" vertical="center"/>
      <protection locked="0"/>
    </xf>
    <xf numFmtId="173" fontId="0" fillId="9" borderId="14" xfId="0" applyNumberFormat="1" applyFont="1" applyFill="1" applyBorder="1" applyAlignment="1" applyProtection="1">
      <alignment horizontal="right" vertical="center"/>
      <protection locked="0"/>
    </xf>
    <xf numFmtId="168" fontId="0" fillId="9" borderId="14" xfId="0" applyNumberFormat="1" applyFont="1" applyFill="1" applyBorder="1" applyAlignment="1" applyProtection="1">
      <alignment horizontal="right" vertical="center"/>
      <protection locked="0"/>
    </xf>
    <xf numFmtId="169" fontId="0" fillId="9" borderId="14" xfId="0" applyNumberFormat="1" applyFont="1" applyFill="1" applyBorder="1" applyAlignment="1" applyProtection="1">
      <alignment horizontal="right" vertical="center"/>
      <protection locked="0"/>
    </xf>
    <xf numFmtId="166" fontId="0" fillId="9" borderId="14" xfId="0" applyNumberFormat="1" applyFont="1" applyFill="1" applyBorder="1" applyAlignment="1" applyProtection="1">
      <alignment horizontal="right" vertical="center"/>
      <protection locked="0"/>
    </xf>
    <xf numFmtId="176" fontId="0" fillId="9" borderId="14" xfId="0" applyNumberFormat="1" applyFont="1" applyFill="1" applyBorder="1" applyAlignment="1" applyProtection="1">
      <alignment horizontal="right" vertical="center"/>
      <protection locked="0"/>
    </xf>
    <xf numFmtId="171" fontId="0" fillId="9" borderId="14" xfId="0" applyNumberFormat="1" applyFont="1" applyFill="1" applyBorder="1" applyAlignment="1" applyProtection="1">
      <alignment horizontal="right" vertical="center"/>
      <protection locked="0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0" fillId="6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49" fontId="0" fillId="0" borderId="26" xfId="0" applyNumberForma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1" fillId="2" borderId="25" xfId="0" applyFont="1" applyBorder="1" applyAlignment="1" applyProtection="1">
      <alignment vertical="center"/>
    </xf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2" borderId="20" xfId="0" applyBorder="1" applyAlignment="1" applyProtection="1">
      <alignment horizontal="right" indent="1"/>
    </xf>
    <xf numFmtId="49" fontId="0" fillId="2" borderId="20" xfId="0" applyNumberFormat="1" applyFill="1" applyBorder="1" applyAlignment="1" applyProtection="1">
      <alignment horizontal="righ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0" fontId="1" fillId="2" borderId="27" xfId="0" applyFont="1" applyBorder="1" applyProtection="1"/>
    <xf numFmtId="0" fontId="1" fillId="2" borderId="29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vertical="center" wrapText="1"/>
    </xf>
    <xf numFmtId="0" fontId="1" fillId="14" borderId="23" xfId="0" applyFont="1" applyFill="1" applyBorder="1" applyAlignment="1" applyProtection="1">
      <alignment horizontal="left" vertical="center"/>
    </xf>
    <xf numFmtId="0" fontId="1" fillId="14" borderId="26" xfId="0" applyFont="1" applyFill="1" applyBorder="1" applyAlignment="1" applyProtection="1">
      <alignment horizontal="left" vertical="center"/>
    </xf>
    <xf numFmtId="0" fontId="0" fillId="14" borderId="26" xfId="0" applyFill="1" applyBorder="1" applyAlignment="1" applyProtection="1">
      <alignment vertical="center"/>
    </xf>
    <xf numFmtId="0" fontId="1" fillId="14" borderId="26" xfId="0" applyFont="1" applyFill="1" applyBorder="1" applyAlignment="1" applyProtection="1">
      <alignment vertical="center"/>
    </xf>
    <xf numFmtId="0" fontId="1" fillId="14" borderId="29" xfId="0" applyFont="1" applyFill="1" applyBorder="1" applyAlignment="1" applyProtection="1">
      <alignment vertical="center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81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10" fillId="2" borderId="0" xfId="7" applyFont="1" applyFill="1" applyBorder="1" applyAlignment="1" applyProtection="1">
      <alignment horizontal="center" vertical="center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0" fillId="2" borderId="28" xfId="0" applyBorder="1" applyAlignment="1" applyProtection="1">
      <alignment horizontal="center"/>
    </xf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178" fontId="0" fillId="9" borderId="14" xfId="0" applyNumberFormat="1" applyFont="1" applyFill="1" applyBorder="1" applyAlignment="1" applyProtection="1">
      <alignment horizontal="right" vertical="center"/>
      <protection locked="0"/>
    </xf>
    <xf numFmtId="3" fontId="1" fillId="6" borderId="14" xfId="0" applyNumberFormat="1" applyFont="1" applyFill="1" applyBorder="1" applyAlignment="1" applyProtection="1">
      <alignment horizontal="right" vertical="center"/>
    </xf>
    <xf numFmtId="179" fontId="0" fillId="9" borderId="14" xfId="0" applyNumberFormat="1" applyFont="1" applyFill="1" applyBorder="1" applyAlignment="1" applyProtection="1">
      <alignment horizontal="right" vertical="center"/>
      <protection locked="0"/>
    </xf>
    <xf numFmtId="180" fontId="0" fillId="9" borderId="14" xfId="0" applyNumberFormat="1" applyFont="1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center" vertical="center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horizontal="left" vertical="center" indent="1"/>
    </xf>
    <xf numFmtId="0" fontId="0" fillId="6" borderId="14" xfId="0" applyFill="1" applyBorder="1" applyAlignment="1" applyProtection="1">
      <alignment horizontal="left" vertical="center" indent="1"/>
    </xf>
    <xf numFmtId="49" fontId="3" fillId="8" borderId="14" xfId="0" applyNumberFormat="1" applyFont="1" applyFill="1" applyBorder="1" applyAlignment="1" applyProtection="1">
      <alignment horizontal="left" vertical="center"/>
    </xf>
    <xf numFmtId="0" fontId="0" fillId="9" borderId="14" xfId="0" applyFont="1" applyFill="1" applyBorder="1" applyAlignment="1" applyProtection="1">
      <alignment horizontal="left" vertical="center" wrapText="1" indent="1"/>
      <protection locked="0"/>
    </xf>
    <xf numFmtId="0" fontId="14" fillId="9" borderId="14" xfId="11" applyFill="1" applyBorder="1" applyAlignment="1" applyProtection="1">
      <alignment horizontal="left" vertical="center" indent="1"/>
      <protection locked="0"/>
    </xf>
    <xf numFmtId="3" fontId="1" fillId="7" borderId="14" xfId="1" applyFill="1" applyBorder="1" applyProtection="1">
      <alignment horizontal="right" vertical="center"/>
      <protection locked="0"/>
    </xf>
    <xf numFmtId="174" fontId="0" fillId="7" borderId="14" xfId="0" applyNumberFormat="1" applyFont="1" applyFill="1" applyBorder="1" applyAlignment="1" applyProtection="1">
      <alignment horizontal="right" vertical="center"/>
      <protection locked="0"/>
    </xf>
    <xf numFmtId="170" fontId="0" fillId="7" borderId="14" xfId="0" applyNumberFormat="1" applyFont="1" applyFill="1" applyBorder="1" applyAlignment="1" applyProtection="1">
      <alignment horizontal="right" vertical="center"/>
      <protection locked="0"/>
    </xf>
    <xf numFmtId="175" fontId="0" fillId="7" borderId="14" xfId="0" applyNumberFormat="1" applyFont="1" applyFill="1" applyBorder="1" applyAlignment="1" applyProtection="1">
      <alignment horizontal="right" vertical="center"/>
      <protection locked="0"/>
    </xf>
    <xf numFmtId="177" fontId="0" fillId="7" borderId="14" xfId="0" applyNumberFormat="1" applyFont="1" applyFill="1" applyBorder="1" applyAlignment="1" applyProtection="1">
      <alignment horizontal="right" vertical="center"/>
      <protection locked="0"/>
    </xf>
    <xf numFmtId="167" fontId="0" fillId="7" borderId="14" xfId="0" applyNumberFormat="1" applyFont="1" applyFill="1" applyBorder="1" applyAlignment="1" applyProtection="1">
      <alignment horizontal="right" vertical="center"/>
      <protection locked="0"/>
    </xf>
    <xf numFmtId="172" fontId="0" fillId="7" borderId="14" xfId="0" applyNumberFormat="1" applyFont="1" applyFill="1" applyBorder="1" applyAlignment="1" applyProtection="1">
      <alignment horizontal="right" vertical="center"/>
      <protection locked="0"/>
    </xf>
    <xf numFmtId="173" fontId="0" fillId="7" borderId="14" xfId="0" applyNumberFormat="1" applyFont="1" applyFill="1" applyBorder="1" applyAlignment="1" applyProtection="1">
      <alignment horizontal="right" vertical="center"/>
      <protection locked="0"/>
    </xf>
    <xf numFmtId="168" fontId="0" fillId="7" borderId="14" xfId="0" applyNumberFormat="1" applyFont="1" applyFill="1" applyBorder="1" applyAlignment="1" applyProtection="1">
      <alignment horizontal="right" vertical="center"/>
      <protection locked="0"/>
    </xf>
    <xf numFmtId="169" fontId="0" fillId="7" borderId="14" xfId="0" applyNumberFormat="1" applyFont="1" applyFill="1" applyBorder="1" applyAlignment="1" applyProtection="1">
      <alignment horizontal="right" vertical="center"/>
      <protection locked="0"/>
    </xf>
    <xf numFmtId="166" fontId="0" fillId="7" borderId="14" xfId="0" applyNumberFormat="1" applyFont="1" applyFill="1" applyBorder="1" applyAlignment="1" applyProtection="1">
      <alignment horizontal="right" vertical="center"/>
      <protection locked="0"/>
    </xf>
    <xf numFmtId="176" fontId="0" fillId="7" borderId="14" xfId="0" applyNumberFormat="1" applyFont="1" applyFill="1" applyBorder="1" applyAlignment="1" applyProtection="1">
      <alignment horizontal="right" vertical="center"/>
      <protection locked="0"/>
    </xf>
    <xf numFmtId="171" fontId="0" fillId="7" borderId="14" xfId="0" applyNumberFormat="1" applyFont="1" applyFill="1" applyBorder="1" applyAlignment="1" applyProtection="1">
      <alignment horizontal="right" vertical="center"/>
      <protection locked="0"/>
    </xf>
    <xf numFmtId="178" fontId="0" fillId="7" borderId="14" xfId="0" applyNumberFormat="1" applyFont="1" applyFill="1" applyBorder="1" applyAlignment="1" applyProtection="1">
      <alignment horizontal="right" vertical="center"/>
      <protection locked="0"/>
    </xf>
    <xf numFmtId="179" fontId="0" fillId="7" borderId="14" xfId="0" applyNumberFormat="1" applyFont="1" applyFill="1" applyBorder="1" applyAlignment="1" applyProtection="1">
      <alignment horizontal="right" vertical="center"/>
      <protection locked="0"/>
    </xf>
    <xf numFmtId="180" fontId="0" fillId="7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184" fontId="0" fillId="14" borderId="14" xfId="0" applyNumberFormat="1" applyFont="1" applyFill="1" applyBorder="1" applyAlignment="1" applyProtection="1">
      <alignment horizontal="right" vertical="center" indent="1"/>
      <protection locked="0"/>
    </xf>
    <xf numFmtId="184" fontId="1" fillId="14" borderId="14" xfId="0" applyNumberFormat="1" applyFont="1" applyFill="1" applyBorder="1" applyAlignment="1" applyProtection="1">
      <alignment horizontal="right" vertical="center" indent="1"/>
      <protection locked="0"/>
    </xf>
    <xf numFmtId="184" fontId="0" fillId="18" borderId="14" xfId="0" applyNumberFormat="1" applyFont="1" applyFill="1" applyBorder="1" applyAlignment="1" applyProtection="1">
      <alignment horizontal="right" vertical="center" indent="1"/>
      <protection locked="0"/>
    </xf>
    <xf numFmtId="3" fontId="1" fillId="7" borderId="14" xfId="1" applyFont="1" applyFill="1" applyBorder="1" applyProtection="1">
      <alignment horizontal="right" vertical="center"/>
      <protection locked="0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3" fontId="1" fillId="9" borderId="14" xfId="1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84" fontId="1" fillId="14" borderId="22" xfId="0" applyNumberFormat="1" applyFont="1" applyFill="1" applyBorder="1" applyAlignment="1" applyProtection="1">
      <alignment horizontal="right" vertical="center"/>
    </xf>
    <xf numFmtId="184" fontId="1" fillId="14" borderId="25" xfId="0" applyNumberFormat="1" applyFont="1" applyFill="1" applyBorder="1" applyAlignment="1" applyProtection="1">
      <alignment horizontal="right" vertical="center"/>
    </xf>
    <xf numFmtId="184" fontId="1" fillId="14" borderId="27" xfId="0" applyNumberFormat="1" applyFont="1" applyFill="1" applyBorder="1" applyAlignment="1" applyProtection="1">
      <alignment horizontal="right" vertical="center"/>
    </xf>
    <xf numFmtId="3" fontId="0" fillId="9" borderId="14" xfId="1" applyFont="1" applyFill="1" applyBorder="1" applyAlignment="1" applyProtection="1">
      <alignment horizontal="left" vertical="top" wrapText="1" indent="1"/>
      <protection locked="0"/>
    </xf>
    <xf numFmtId="181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6" borderId="0" xfId="8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horizontal="center" vertical="center" wrapTex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wrapText="1" indent="1"/>
    </xf>
    <xf numFmtId="0" fontId="0" fillId="6" borderId="19" xfId="0" applyFill="1" applyBorder="1" applyAlignment="1" applyProtection="1">
      <alignment horizontal="left" vertical="center" wrapText="1" indent="1"/>
    </xf>
    <xf numFmtId="0" fontId="0" fillId="6" borderId="20" xfId="0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horizontal="left" vertical="center" indent="1"/>
    </xf>
    <xf numFmtId="0" fontId="1" fillId="12" borderId="29" xfId="0" applyFont="1" applyFill="1" applyBorder="1" applyAlignment="1" applyProtection="1">
      <alignment horizontal="left" vertical="center" indent="1"/>
    </xf>
    <xf numFmtId="49" fontId="3" fillId="8" borderId="21" xfId="0" applyNumberFormat="1" applyFont="1" applyFill="1" applyBorder="1" applyAlignment="1" applyProtection="1">
      <alignment horizontal="left" vertical="center" wrapText="1"/>
    </xf>
    <xf numFmtId="49" fontId="3" fillId="13" borderId="17" xfId="0" applyNumberFormat="1" applyFont="1" applyFill="1" applyBorder="1" applyAlignment="1" applyProtection="1">
      <alignment horizontal="left" vertical="center" wrapText="1"/>
    </xf>
    <xf numFmtId="183" fontId="0" fillId="2" borderId="18" xfId="0" applyNumberFormat="1" applyFont="1" applyBorder="1" applyAlignment="1" applyProtection="1">
      <alignment horizontal="left" vertical="center" indent="1"/>
    </xf>
    <xf numFmtId="183" fontId="0" fillId="2" borderId="20" xfId="0" applyNumberFormat="1" applyFont="1" applyBorder="1" applyAlignment="1" applyProtection="1">
      <alignment horizontal="left" vertical="center" indent="1"/>
    </xf>
    <xf numFmtId="0" fontId="3" fillId="2" borderId="14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32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3"/>
  </sheetPr>
  <dimension ref="A1:Q272"/>
  <sheetViews>
    <sheetView showGridLines="0" tabSelected="1" zoomScale="85" zoomScaleNormal="85" zoomScaleSheetLayoutView="87" workbookViewId="0">
      <selection activeCell="G6" sqref="G6"/>
    </sheetView>
  </sheetViews>
  <sheetFormatPr defaultColWidth="11.42578125" defaultRowHeight="15" customHeight="1"/>
  <cols>
    <col min="1" max="1" width="5.7109375" style="22" customWidth="1"/>
    <col min="2" max="2" width="5.7109375" style="19" customWidth="1"/>
    <col min="3" max="3" width="50.7109375" style="20" customWidth="1"/>
    <col min="4" max="4" width="10.7109375" style="20" customWidth="1"/>
    <col min="5" max="5" width="25.7109375" style="20" customWidth="1"/>
    <col min="6" max="6" width="5.7109375" style="20" customWidth="1"/>
    <col min="7" max="7" width="24.7109375" style="20" customWidth="1"/>
    <col min="8" max="8" width="10.5703125" style="110" customWidth="1"/>
    <col min="9" max="9" width="17" style="20" customWidth="1"/>
    <col min="10" max="10" width="4.7109375" style="22" customWidth="1"/>
    <col min="11" max="11" width="15.28515625" style="21" customWidth="1"/>
    <col min="12" max="12" width="45.7109375" style="20" customWidth="1"/>
    <col min="13" max="13" width="4.7109375" style="22" customWidth="1"/>
    <col min="14" max="14" width="25.7109375" style="20" customWidth="1"/>
    <col min="15" max="15" width="5.7109375" style="21" customWidth="1"/>
    <col min="16" max="16384" width="11.42578125" style="22"/>
  </cols>
  <sheetData>
    <row r="1" spans="1:17" ht="15" customHeight="1">
      <c r="A1" s="28"/>
      <c r="B1" s="291"/>
      <c r="C1" s="17"/>
      <c r="D1" s="17"/>
      <c r="E1" s="17"/>
      <c r="F1" s="17"/>
      <c r="G1" s="17"/>
      <c r="H1" s="197"/>
      <c r="I1" s="17"/>
      <c r="J1" s="28"/>
      <c r="K1" s="16"/>
      <c r="L1" s="17"/>
      <c r="M1" s="28"/>
      <c r="N1" s="17"/>
      <c r="O1" s="16"/>
      <c r="P1" s="28"/>
    </row>
    <row r="2" spans="1:17" ht="37.5" customHeight="1">
      <c r="A2" s="28"/>
      <c r="B2" s="17"/>
      <c r="C2" s="311" t="s">
        <v>250</v>
      </c>
      <c r="D2" s="311"/>
      <c r="E2" s="311"/>
      <c r="F2" s="17"/>
      <c r="G2" s="229" t="str">
        <f>CONCATENATE("v", Parameters!E4,".",Parameters!F4,".",Parameters!G4)</f>
        <v>v4.1.0</v>
      </c>
      <c r="H2" s="197"/>
      <c r="I2" s="230"/>
      <c r="J2" s="28"/>
      <c r="K2" s="16"/>
      <c r="L2" s="230"/>
      <c r="M2" s="28"/>
      <c r="N2" s="230"/>
      <c r="O2" s="16"/>
      <c r="P2" s="16"/>
    </row>
    <row r="3" spans="1:17" ht="20.100000000000001" customHeight="1">
      <c r="A3" s="28"/>
      <c r="B3" s="75" t="s">
        <v>58</v>
      </c>
      <c r="C3" s="76"/>
      <c r="D3" s="76"/>
      <c r="E3" s="76"/>
      <c r="F3" s="76"/>
      <c r="G3" s="76"/>
      <c r="H3" s="108"/>
      <c r="I3" s="76"/>
      <c r="J3" s="76"/>
      <c r="K3" s="76"/>
      <c r="L3" s="76"/>
      <c r="M3" s="76"/>
      <c r="N3" s="76"/>
      <c r="O3" s="77"/>
      <c r="P3" s="16"/>
      <c r="Q3" s="28"/>
    </row>
    <row r="4" spans="1:17" ht="20.100000000000001" customHeight="1">
      <c r="A4" s="28"/>
      <c r="B4" s="111"/>
      <c r="C4" s="39"/>
      <c r="D4" s="39"/>
      <c r="E4" s="16"/>
      <c r="F4" s="16"/>
      <c r="G4" s="16"/>
      <c r="H4" s="37"/>
      <c r="I4" s="16"/>
      <c r="J4" s="16"/>
      <c r="K4" s="16"/>
      <c r="L4" s="16"/>
      <c r="M4" s="16"/>
      <c r="N4" s="16"/>
      <c r="O4" s="112"/>
      <c r="P4" s="16"/>
      <c r="Q4" s="28"/>
    </row>
    <row r="5" spans="1:17" ht="15" customHeight="1">
      <c r="A5" s="28"/>
      <c r="B5" s="111"/>
      <c r="C5" s="65" t="s">
        <v>416</v>
      </c>
      <c r="D5" s="66"/>
      <c r="E5" s="67"/>
      <c r="F5" s="64" t="s">
        <v>248</v>
      </c>
      <c r="G5" s="44" t="s">
        <v>169</v>
      </c>
      <c r="H5" s="38"/>
      <c r="I5" s="44" t="s">
        <v>50</v>
      </c>
      <c r="J5" s="16"/>
      <c r="K5" s="16"/>
      <c r="L5" s="16"/>
      <c r="M5" s="16"/>
      <c r="N5" s="16"/>
      <c r="O5" s="112"/>
      <c r="P5" s="16"/>
      <c r="Q5" s="28"/>
    </row>
    <row r="6" spans="1:17" ht="15" customHeight="1">
      <c r="A6" s="28"/>
      <c r="B6" s="111"/>
      <c r="C6" s="130" t="s">
        <v>303</v>
      </c>
      <c r="D6" s="131"/>
      <c r="E6" s="132"/>
      <c r="F6" s="49"/>
      <c r="G6" s="48"/>
      <c r="H6" s="38"/>
      <c r="I6" s="60"/>
      <c r="J6" s="16"/>
      <c r="K6" s="16"/>
      <c r="L6" s="16"/>
      <c r="M6" s="16"/>
      <c r="N6" s="16"/>
      <c r="O6" s="112"/>
      <c r="P6" s="16"/>
      <c r="Q6" s="28"/>
    </row>
    <row r="7" spans="1:17" ht="15" customHeight="1">
      <c r="A7" s="28"/>
      <c r="B7" s="111"/>
      <c r="C7" s="133" t="s">
        <v>91</v>
      </c>
      <c r="D7" s="134"/>
      <c r="E7" s="132"/>
      <c r="F7" s="262">
        <v>1001</v>
      </c>
      <c r="G7" s="79" t="s">
        <v>51</v>
      </c>
      <c r="H7" s="38" t="s">
        <v>89</v>
      </c>
      <c r="I7" s="61" t="str">
        <f>IF(OR(G7="&lt;select&gt;",ISBLANK(G7)),"Please select a code"," ")</f>
        <v>Please select a code</v>
      </c>
      <c r="J7" s="16"/>
      <c r="K7" s="16"/>
      <c r="L7" s="16"/>
      <c r="M7" s="16"/>
      <c r="N7" s="16"/>
      <c r="O7" s="112"/>
      <c r="P7" s="16"/>
      <c r="Q7" s="28"/>
    </row>
    <row r="8" spans="1:17" ht="15" customHeight="1">
      <c r="A8" s="28"/>
      <c r="B8" s="111"/>
      <c r="C8" s="133" t="s">
        <v>246</v>
      </c>
      <c r="D8" s="134"/>
      <c r="E8" s="132"/>
      <c r="F8" s="262">
        <v>1002</v>
      </c>
      <c r="G8" s="80"/>
      <c r="H8" s="38" t="s">
        <v>90</v>
      </c>
      <c r="I8" s="61" t="str">
        <f>IF(ISNUMBER(G8),"No numbers please",IF(ISTEXT(G8)," ","Please enter a name"))</f>
        <v>Please enter a name</v>
      </c>
      <c r="J8" s="16"/>
      <c r="K8" s="16"/>
      <c r="L8" s="16"/>
      <c r="M8" s="16"/>
      <c r="N8" s="16"/>
      <c r="O8" s="112"/>
      <c r="P8" s="16"/>
      <c r="Q8" s="16"/>
    </row>
    <row r="9" spans="1:17" ht="15" customHeight="1">
      <c r="A9" s="28"/>
      <c r="B9" s="111"/>
      <c r="C9" s="133" t="s">
        <v>490</v>
      </c>
      <c r="D9" s="134"/>
      <c r="E9" s="132"/>
      <c r="F9" s="262">
        <v>1003</v>
      </c>
      <c r="G9" s="307" t="s">
        <v>51</v>
      </c>
      <c r="H9" s="38" t="s">
        <v>92</v>
      </c>
      <c r="I9" s="61" t="str">
        <f>IF(OR(G9="&lt;select&gt;",ISBLANK(G9)),"Please select a date"," ")</f>
        <v>Please select a date</v>
      </c>
      <c r="J9" s="16"/>
      <c r="K9" s="16"/>
      <c r="L9" s="16"/>
      <c r="M9" s="16"/>
      <c r="N9" s="16"/>
      <c r="O9" s="112"/>
      <c r="P9" s="16"/>
      <c r="Q9" s="16"/>
    </row>
    <row r="10" spans="1:17" ht="15" customHeight="1">
      <c r="A10" s="28"/>
      <c r="B10" s="111"/>
      <c r="C10" s="133" t="s">
        <v>491</v>
      </c>
      <c r="D10" s="134"/>
      <c r="E10" s="132"/>
      <c r="F10" s="262">
        <v>1004</v>
      </c>
      <c r="G10" s="308" t="s">
        <v>51</v>
      </c>
      <c r="H10" s="38" t="s">
        <v>487</v>
      </c>
      <c r="I10" s="61" t="str">
        <f>IF(OR(G10="&lt;select&gt;",ISBLANK(G10)),"Please select a value"," ")</f>
        <v>Please select a value</v>
      </c>
      <c r="J10" s="16"/>
      <c r="K10" s="16"/>
      <c r="L10" s="16"/>
      <c r="M10" s="16"/>
      <c r="N10" s="16"/>
      <c r="O10" s="112"/>
      <c r="P10" s="16"/>
      <c r="Q10" s="28"/>
    </row>
    <row r="11" spans="1:17" ht="15" customHeight="1">
      <c r="A11" s="28"/>
      <c r="B11" s="111"/>
      <c r="C11" s="135" t="s">
        <v>492</v>
      </c>
      <c r="D11" s="136"/>
      <c r="E11" s="138"/>
      <c r="F11" s="262">
        <v>1005</v>
      </c>
      <c r="G11" s="50" t="str">
        <f>IF(OR(G10="&lt;select&gt;",ISBLANK(G10)),"",VLOOKUP(G10,Parameters!$E$49:$F$67,2,FALSE))</f>
        <v/>
      </c>
      <c r="H11" s="38" t="s">
        <v>488</v>
      </c>
      <c r="I11" s="62"/>
      <c r="J11" s="16"/>
      <c r="K11" s="16"/>
      <c r="L11" s="16"/>
      <c r="M11" s="16"/>
      <c r="N11" s="16"/>
      <c r="O11" s="112"/>
      <c r="P11" s="16"/>
      <c r="Q11" s="16"/>
    </row>
    <row r="12" spans="1:17" ht="15" customHeight="1">
      <c r="A12" s="28"/>
      <c r="B12" s="111"/>
      <c r="C12" s="135" t="s">
        <v>493</v>
      </c>
      <c r="D12" s="136"/>
      <c r="E12" s="137"/>
      <c r="F12" s="262">
        <v>1006</v>
      </c>
      <c r="G12" s="81"/>
      <c r="H12" s="38" t="s">
        <v>489</v>
      </c>
      <c r="I12" s="61" t="str">
        <f>IF(ISTEXT(G12),"No text please",IF(ISNUMBER(G12)," ", "Please enter a date"))</f>
        <v>Please enter a date</v>
      </c>
      <c r="J12" s="16"/>
      <c r="K12" s="16"/>
      <c r="L12" s="16"/>
      <c r="M12" s="16"/>
      <c r="N12" s="16"/>
      <c r="O12" s="112"/>
      <c r="P12" s="16"/>
      <c r="Q12" s="16"/>
    </row>
    <row r="13" spans="1:17" ht="15" customHeight="1">
      <c r="A13" s="28"/>
      <c r="B13" s="111"/>
      <c r="C13" s="130" t="s">
        <v>195</v>
      </c>
      <c r="D13" s="131"/>
      <c r="E13" s="132"/>
      <c r="F13" s="49"/>
      <c r="G13" s="48"/>
      <c r="H13" s="38"/>
      <c r="I13" s="62"/>
      <c r="J13" s="16"/>
      <c r="K13" s="16"/>
      <c r="L13" s="16"/>
      <c r="M13" s="16"/>
      <c r="N13" s="16"/>
      <c r="O13" s="112"/>
      <c r="P13" s="16"/>
      <c r="Q13" s="28"/>
    </row>
    <row r="14" spans="1:17" ht="15" customHeight="1">
      <c r="A14" s="28"/>
      <c r="B14" s="111"/>
      <c r="C14" s="133" t="s">
        <v>482</v>
      </c>
      <c r="D14" s="134"/>
      <c r="E14" s="132"/>
      <c r="F14" s="262">
        <v>1007</v>
      </c>
      <c r="G14" s="51" t="s">
        <v>51</v>
      </c>
      <c r="H14" s="38" t="s">
        <v>93</v>
      </c>
      <c r="I14" s="61" t="str">
        <f>IF(OR(G14="&lt;select&gt;",ISBLANK(G14)),"Please select a value"," ")</f>
        <v>Please select a value</v>
      </c>
      <c r="J14" s="16"/>
      <c r="K14" s="16"/>
      <c r="L14" s="16"/>
      <c r="M14" s="16"/>
      <c r="N14" s="16"/>
      <c r="O14" s="112"/>
      <c r="P14" s="16"/>
      <c r="Q14" s="28"/>
    </row>
    <row r="15" spans="1:17" ht="15" customHeight="1">
      <c r="A15" s="28"/>
      <c r="B15" s="111"/>
      <c r="C15" s="135" t="s">
        <v>483</v>
      </c>
      <c r="D15" s="136"/>
      <c r="E15" s="137"/>
      <c r="F15" s="262">
        <v>1008</v>
      </c>
      <c r="G15" s="52" t="s">
        <v>51</v>
      </c>
      <c r="H15" s="38" t="s">
        <v>94</v>
      </c>
      <c r="I15" s="61" t="str">
        <f>IF(OR(G15="&lt;select&gt;",ISBLANK(G15)),"Please select a value"," ")</f>
        <v>Please select a value</v>
      </c>
      <c r="J15" s="16"/>
      <c r="K15" s="16"/>
      <c r="L15" s="44" t="s">
        <v>267</v>
      </c>
      <c r="M15" s="16"/>
      <c r="N15" s="44" t="s">
        <v>269</v>
      </c>
      <c r="O15" s="112"/>
      <c r="P15" s="16"/>
      <c r="Q15" s="28"/>
    </row>
    <row r="16" spans="1:17" ht="15" customHeight="1">
      <c r="A16" s="28"/>
      <c r="B16" s="111"/>
      <c r="C16" s="135" t="s">
        <v>484</v>
      </c>
      <c r="D16" s="136"/>
      <c r="E16" s="137"/>
      <c r="F16" s="262">
        <v>1009</v>
      </c>
      <c r="G16" s="196"/>
      <c r="H16" s="38" t="s">
        <v>95</v>
      </c>
      <c r="I16" s="61" t="str">
        <f>IF(ISTEXT(G16),"No text please",IF(ISNUMBER(G16)," ", "Please enter a date"))</f>
        <v>Please enter a date</v>
      </c>
      <c r="J16" s="16"/>
      <c r="K16" s="16"/>
      <c r="L16" s="300"/>
      <c r="M16" s="16"/>
      <c r="N16" s="302"/>
      <c r="O16" s="112"/>
      <c r="P16" s="16"/>
      <c r="Q16" s="28"/>
    </row>
    <row r="17" spans="1:17" ht="15" customHeight="1">
      <c r="A17" s="28"/>
      <c r="B17" s="111"/>
      <c r="C17" s="135" t="s">
        <v>485</v>
      </c>
      <c r="D17" s="136"/>
      <c r="E17" s="137"/>
      <c r="F17" s="262">
        <v>1010</v>
      </c>
      <c r="G17" s="273"/>
      <c r="H17" s="38" t="s">
        <v>96</v>
      </c>
      <c r="I17" s="61" t="str">
        <f>IF(ISNUMBER(G17),"No numbers please",IF(ISTEXT(G17)," ","Please enter a value"))</f>
        <v>Please enter a value</v>
      </c>
      <c r="J17" s="16"/>
      <c r="K17" s="16"/>
      <c r="L17" s="300"/>
      <c r="M17" s="16"/>
      <c r="N17" s="302"/>
      <c r="O17" s="112"/>
      <c r="P17" s="16"/>
      <c r="Q17" s="28"/>
    </row>
    <row r="18" spans="1:17" ht="15" customHeight="1">
      <c r="A18" s="28"/>
      <c r="B18" s="111"/>
      <c r="C18" s="135" t="s">
        <v>486</v>
      </c>
      <c r="D18" s="136"/>
      <c r="E18" s="137"/>
      <c r="F18" s="262">
        <v>1011</v>
      </c>
      <c r="G18" s="274"/>
      <c r="H18" s="38" t="s">
        <v>97</v>
      </c>
      <c r="I18" s="61" t="str">
        <f>IF(ISNUMBER(G18),"No numbers please",IF(ISTEXT(G18)," ","Please enter a value"))</f>
        <v>Please enter a value</v>
      </c>
      <c r="J18" s="16"/>
      <c r="K18" s="16"/>
      <c r="L18" s="300"/>
      <c r="M18" s="16"/>
      <c r="N18" s="302"/>
      <c r="O18" s="112"/>
      <c r="P18" s="16"/>
      <c r="Q18" s="28"/>
    </row>
    <row r="19" spans="1:17" ht="20.100000000000001" customHeight="1">
      <c r="A19" s="28"/>
      <c r="B19" s="231"/>
      <c r="C19" s="232"/>
      <c r="D19" s="232"/>
      <c r="E19" s="148"/>
      <c r="F19" s="233"/>
      <c r="G19" s="148"/>
      <c r="H19" s="234"/>
      <c r="I19" s="148"/>
      <c r="J19" s="148"/>
      <c r="K19" s="148"/>
      <c r="L19" s="148"/>
      <c r="M19" s="148"/>
      <c r="N19" s="148"/>
      <c r="O19" s="235"/>
      <c r="P19" s="16"/>
      <c r="Q19" s="28"/>
    </row>
    <row r="20" spans="1:17" ht="20.100000000000001" customHeight="1">
      <c r="A20" s="28"/>
      <c r="B20" s="75" t="s">
        <v>63</v>
      </c>
      <c r="C20" s="76"/>
      <c r="D20" s="76"/>
      <c r="E20" s="76"/>
      <c r="F20" s="76"/>
      <c r="G20" s="76"/>
      <c r="H20" s="108"/>
      <c r="I20" s="76"/>
      <c r="J20" s="76"/>
      <c r="K20" s="76"/>
      <c r="L20" s="76"/>
      <c r="M20" s="76"/>
      <c r="N20" s="76"/>
      <c r="O20" s="77"/>
      <c r="P20" s="16"/>
      <c r="Q20" s="28"/>
    </row>
    <row r="21" spans="1:17" ht="20.100000000000001" customHeight="1">
      <c r="A21" s="28"/>
      <c r="B21" s="236"/>
      <c r="C21" s="237"/>
      <c r="D21" s="237"/>
      <c r="E21" s="238"/>
      <c r="F21" s="239"/>
      <c r="G21" s="238"/>
      <c r="H21" s="240"/>
      <c r="I21" s="238"/>
      <c r="J21" s="238"/>
      <c r="K21" s="238"/>
      <c r="L21" s="238"/>
      <c r="M21" s="238"/>
      <c r="N21" s="238"/>
      <c r="O21" s="241"/>
      <c r="P21" s="16"/>
      <c r="Q21" s="28"/>
    </row>
    <row r="22" spans="1:17" ht="15" customHeight="1">
      <c r="A22" s="28"/>
      <c r="B22" s="111"/>
      <c r="C22" s="65" t="s">
        <v>417</v>
      </c>
      <c r="D22" s="66"/>
      <c r="E22" s="67"/>
      <c r="F22" s="64" t="s">
        <v>248</v>
      </c>
      <c r="G22" s="40" t="str">
        <f>IF(OR($G$10="&lt;select&gt;",ISBLANK($G$10)),"Amount","Amount in "&amp;VLOOKUP($G$14,Parameters!$E$69:$F$72,2,FALSE)&amp;$G$10)</f>
        <v>Amount</v>
      </c>
      <c r="H22" s="38"/>
      <c r="I22" s="44" t="s">
        <v>50</v>
      </c>
      <c r="J22" s="16"/>
      <c r="K22" s="44" t="s">
        <v>214</v>
      </c>
      <c r="L22" s="44" t="str">
        <f>L15</f>
        <v>Comments</v>
      </c>
      <c r="M22" s="16"/>
      <c r="N22" s="44" t="str">
        <f>N15</f>
        <v>Supervisor Comments</v>
      </c>
      <c r="O22" s="112"/>
      <c r="P22" s="16"/>
      <c r="Q22" s="28"/>
    </row>
    <row r="23" spans="1:17" ht="15" customHeight="1">
      <c r="A23" s="28"/>
      <c r="B23" s="113"/>
      <c r="C23" s="68" t="s">
        <v>284</v>
      </c>
      <c r="D23" s="69"/>
      <c r="E23" s="70"/>
      <c r="F23" s="63">
        <v>1012</v>
      </c>
      <c r="G23" s="53"/>
      <c r="H23" s="38" t="s">
        <v>203</v>
      </c>
      <c r="I23" s="61" t="str">
        <f>IF(ISTEXT(G23),"No text please",IF(G23&lt;0,"No negatives please",IF(ISBLANK(G23),"Please enter a value",IF(AND(G23=0,ISERROR(FIND("zero",K23))),"Please confirm zero",IF(AND(G23&lt;&gt;0,K23="Confirmed zero"),"Value not zero"," ")))))</f>
        <v>Please enter a value</v>
      </c>
      <c r="J23" s="16"/>
      <c r="K23" s="47"/>
      <c r="L23" s="300"/>
      <c r="M23" s="16"/>
      <c r="N23" s="302"/>
      <c r="O23" s="112"/>
      <c r="P23" s="16"/>
      <c r="Q23" s="28"/>
    </row>
    <row r="24" spans="1:17" ht="15" customHeight="1">
      <c r="A24" s="28"/>
      <c r="B24" s="113"/>
      <c r="C24" s="68" t="s">
        <v>86</v>
      </c>
      <c r="D24" s="69"/>
      <c r="E24" s="70"/>
      <c r="F24" s="262">
        <v>1013</v>
      </c>
      <c r="G24" s="54"/>
      <c r="H24" s="38" t="s">
        <v>71</v>
      </c>
      <c r="I24" s="61" t="str">
        <f>IF(ISTEXT(G24),"No text please",IF(G24&lt;0,"No negatives please",IF(ISBLANK(G24),"Please enter a value",IF(AND(G24=0,ISERROR(FIND("zero",K24))),"Please confirm zero",IF(AND(G24&lt;&gt;0,K24="Confirmed zero"),"Value not zero"," ")))))</f>
        <v>Please enter a value</v>
      </c>
      <c r="J24" s="16"/>
      <c r="K24" s="47"/>
      <c r="L24" s="300"/>
      <c r="M24" s="16"/>
      <c r="N24" s="302"/>
      <c r="O24" s="112"/>
      <c r="P24" s="16"/>
      <c r="Q24" s="28"/>
    </row>
    <row r="25" spans="1:17" ht="15" customHeight="1">
      <c r="A25" s="28"/>
      <c r="B25" s="113"/>
      <c r="C25" s="68" t="s">
        <v>87</v>
      </c>
      <c r="D25" s="69"/>
      <c r="E25" s="71"/>
      <c r="F25" s="262">
        <v>1014</v>
      </c>
      <c r="G25" s="199"/>
      <c r="H25" s="38" t="s">
        <v>72</v>
      </c>
      <c r="I25" s="61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16"/>
      <c r="K25" s="47"/>
      <c r="L25" s="300"/>
      <c r="M25" s="16"/>
      <c r="N25" s="302"/>
      <c r="O25" s="112"/>
      <c r="P25" s="16"/>
      <c r="Q25" s="28"/>
    </row>
    <row r="26" spans="1:17" ht="15" customHeight="1">
      <c r="A26" s="28"/>
      <c r="B26" s="113"/>
      <c r="C26" s="68" t="s">
        <v>88</v>
      </c>
      <c r="D26" s="69"/>
      <c r="E26" s="71"/>
      <c r="F26" s="63">
        <v>1015</v>
      </c>
      <c r="G26" s="199"/>
      <c r="H26" s="38" t="s">
        <v>73</v>
      </c>
      <c r="I26" s="61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16"/>
      <c r="K26" s="47"/>
      <c r="L26" s="300"/>
      <c r="M26" s="16"/>
      <c r="N26" s="302"/>
      <c r="O26" s="112"/>
      <c r="P26" s="16"/>
      <c r="Q26" s="28"/>
    </row>
    <row r="27" spans="1:17" ht="15" customHeight="1">
      <c r="A27" s="28"/>
      <c r="B27" s="114"/>
      <c r="C27" s="263" t="s">
        <v>60</v>
      </c>
      <c r="D27" s="72"/>
      <c r="E27" s="71"/>
      <c r="F27" s="262">
        <v>1016</v>
      </c>
      <c r="G27" s="54"/>
      <c r="H27" s="38" t="s">
        <v>122</v>
      </c>
      <c r="I27" s="61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16"/>
      <c r="K27" s="47"/>
      <c r="L27" s="300"/>
      <c r="M27" s="16"/>
      <c r="N27" s="302"/>
      <c r="O27" s="112"/>
      <c r="P27" s="16"/>
      <c r="Q27" s="28"/>
    </row>
    <row r="28" spans="1:17" ht="15" customHeight="1">
      <c r="A28" s="28"/>
      <c r="B28" s="113"/>
      <c r="C28" s="73" t="s">
        <v>286</v>
      </c>
      <c r="D28" s="74"/>
      <c r="E28" s="71"/>
      <c r="F28" s="262">
        <v>1017</v>
      </c>
      <c r="G28" s="55" t="str">
        <f>IF(COUNTIF(I23:I27,"&lt;&gt; ")=0,SUM(G23,G24,G25,MAX((G26-G27),0)),"")</f>
        <v/>
      </c>
      <c r="H28" s="38" t="s">
        <v>74</v>
      </c>
      <c r="I28" s="48"/>
      <c r="J28" s="16"/>
      <c r="K28" s="48"/>
      <c r="L28" s="48"/>
      <c r="M28" s="16"/>
      <c r="N28" s="48"/>
      <c r="O28" s="112"/>
      <c r="P28" s="16"/>
      <c r="Q28" s="28"/>
    </row>
    <row r="29" spans="1:17" ht="15" customHeight="1">
      <c r="A29" s="28"/>
      <c r="B29" s="113"/>
      <c r="C29" s="68" t="s">
        <v>285</v>
      </c>
      <c r="D29" s="69"/>
      <c r="E29" s="70"/>
      <c r="F29" s="63">
        <v>1018</v>
      </c>
      <c r="G29" s="54"/>
      <c r="H29" s="36" t="s">
        <v>204</v>
      </c>
      <c r="I29" s="61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16"/>
      <c r="K29" s="47"/>
      <c r="L29" s="300"/>
      <c r="M29" s="16"/>
      <c r="N29" s="302"/>
      <c r="O29" s="112"/>
      <c r="P29" s="16"/>
      <c r="Q29" s="28"/>
    </row>
    <row r="30" spans="1:17" ht="15" customHeight="1">
      <c r="A30" s="28"/>
      <c r="B30" s="113"/>
      <c r="C30" s="68" t="s">
        <v>455</v>
      </c>
      <c r="D30" s="69"/>
      <c r="E30" s="70"/>
      <c r="F30" s="262">
        <v>1019</v>
      </c>
      <c r="G30" s="54"/>
      <c r="H30" s="36" t="s">
        <v>75</v>
      </c>
      <c r="I30" s="61" t="str">
        <f>IF(ISTEXT(G30),"No text please",IF(G30&lt;0,"No negatives please",IF(ISBLANK(G30),"Please enter a value",IF(AND(G30=0,ISERROR(FIND("zero",K30))),"Please confirm zero",IF(AND(G30&lt;&gt;0,K30="Confirmed zero"),"Value not zero",IF($G$30&lt;SUM($G$31:$G$32),"&lt; 2.g.(1) + 2.g.(2)"," "))))))</f>
        <v>Please enter a value</v>
      </c>
      <c r="J30" s="16"/>
      <c r="K30" s="47"/>
      <c r="L30" s="300"/>
      <c r="M30" s="16"/>
      <c r="N30" s="302"/>
      <c r="O30" s="112"/>
      <c r="P30" s="16"/>
      <c r="Q30" s="28"/>
    </row>
    <row r="31" spans="1:17" ht="15" customHeight="1">
      <c r="A31" s="28"/>
      <c r="B31" s="113"/>
      <c r="C31" s="263" t="s">
        <v>61</v>
      </c>
      <c r="D31" s="72"/>
      <c r="E31" s="71"/>
      <c r="F31" s="262">
        <v>1020</v>
      </c>
      <c r="G31" s="54"/>
      <c r="H31" s="36" t="s">
        <v>125</v>
      </c>
      <c r="I31" s="61" t="str">
        <f>IF(ISTEXT(G31),"No text please",IF(G31&lt;0,"No negatives please",IF(ISBLANK(G31),"Please enter a value",IF(AND(G31=0,ISERROR(FIND("zero",K31))),"Please confirm zero",IF(AND(G31&lt;&gt;0,K31="Confirmed zero"),"Value not zero",IF($G$30&lt;$G$31,"&gt; 2.g."," "))))))</f>
        <v>Please enter a value</v>
      </c>
      <c r="J31" s="16"/>
      <c r="K31" s="47"/>
      <c r="L31" s="300"/>
      <c r="M31" s="16"/>
      <c r="N31" s="302"/>
      <c r="O31" s="112"/>
      <c r="P31" s="16"/>
      <c r="Q31" s="28"/>
    </row>
    <row r="32" spans="1:17" ht="15" customHeight="1">
      <c r="A32" s="28"/>
      <c r="B32" s="113"/>
      <c r="C32" s="263" t="s">
        <v>62</v>
      </c>
      <c r="D32" s="72"/>
      <c r="E32" s="71"/>
      <c r="F32" s="63">
        <v>1021</v>
      </c>
      <c r="G32" s="54"/>
      <c r="H32" s="36" t="s">
        <v>126</v>
      </c>
      <c r="I32" s="61" t="str">
        <f>IF(ISTEXT(G32),"No text please",IF(G32&lt;0,"No negatives please",IF(ISBLANK(G32),"Please enter a value",IF(AND(G32=0,ISERROR(FIND("zero",K32))),"Please confirm zero",IF(AND(G32&lt;&gt;0,K32="Confirmed zero"),"Value not zero",IF($G$30&lt;$G$32,"&gt; 2.g."," "))))))</f>
        <v>Please enter a value</v>
      </c>
      <c r="J32" s="16"/>
      <c r="K32" s="47"/>
      <c r="L32" s="300"/>
      <c r="M32" s="16"/>
      <c r="N32" s="302"/>
      <c r="O32" s="112"/>
      <c r="P32" s="16"/>
      <c r="Q32" s="28"/>
    </row>
    <row r="33" spans="1:17" ht="15" customHeight="1">
      <c r="A33" s="28"/>
      <c r="B33" s="113"/>
      <c r="C33" s="68" t="s">
        <v>456</v>
      </c>
      <c r="D33" s="69"/>
      <c r="E33" s="71"/>
      <c r="F33" s="262">
        <v>1022</v>
      </c>
      <c r="G33" s="199"/>
      <c r="H33" s="36" t="s">
        <v>127</v>
      </c>
      <c r="I33" s="61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16"/>
      <c r="K33" s="47"/>
      <c r="L33" s="300"/>
      <c r="M33" s="16"/>
      <c r="N33" s="302"/>
      <c r="O33" s="112"/>
      <c r="P33" s="16"/>
      <c r="Q33" s="28"/>
    </row>
    <row r="34" spans="1:17" ht="15" customHeight="1">
      <c r="A34" s="28"/>
      <c r="B34" s="113"/>
      <c r="C34" s="68" t="s">
        <v>457</v>
      </c>
      <c r="D34" s="69"/>
      <c r="E34" s="71"/>
      <c r="F34" s="262">
        <v>1023</v>
      </c>
      <c r="G34" s="54"/>
      <c r="H34" s="36" t="s">
        <v>128</v>
      </c>
      <c r="I34" s="61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16"/>
      <c r="K34" s="47"/>
      <c r="L34" s="300"/>
      <c r="M34" s="16"/>
      <c r="N34" s="302"/>
      <c r="O34" s="112"/>
      <c r="P34" s="16"/>
      <c r="Q34" s="28"/>
    </row>
    <row r="35" spans="1:17" ht="15" customHeight="1">
      <c r="A35" s="28"/>
      <c r="B35" s="113"/>
      <c r="C35" s="68" t="s">
        <v>458</v>
      </c>
      <c r="D35" s="69"/>
      <c r="E35" s="71"/>
      <c r="F35" s="63">
        <v>1024</v>
      </c>
      <c r="G35" s="54"/>
      <c r="H35" s="36" t="s">
        <v>129</v>
      </c>
      <c r="I35" s="61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16"/>
      <c r="K35" s="47"/>
      <c r="L35" s="300"/>
      <c r="M35" s="16"/>
      <c r="N35" s="302"/>
      <c r="O35" s="112"/>
      <c r="P35" s="16"/>
      <c r="Q35" s="28"/>
    </row>
    <row r="36" spans="1:17" ht="15" customHeight="1">
      <c r="A36" s="28"/>
      <c r="B36" s="113"/>
      <c r="C36" s="312" t="s">
        <v>289</v>
      </c>
      <c r="D36" s="313"/>
      <c r="E36" s="314"/>
      <c r="F36" s="49"/>
      <c r="G36" s="48"/>
      <c r="H36" s="36"/>
      <c r="I36" s="48"/>
      <c r="J36" s="16"/>
      <c r="K36" s="48"/>
      <c r="L36" s="48"/>
      <c r="M36" s="16"/>
      <c r="N36" s="48"/>
      <c r="O36" s="112"/>
      <c r="P36" s="16"/>
      <c r="Q36" s="28"/>
    </row>
    <row r="37" spans="1:17" ht="15" customHeight="1">
      <c r="A37" s="28"/>
      <c r="B37" s="113"/>
      <c r="C37" s="312"/>
      <c r="D37" s="313"/>
      <c r="E37" s="314"/>
      <c r="F37" s="56">
        <v>1025</v>
      </c>
      <c r="G37" s="57" t="str">
        <f>IF(COUNTIF(I29:I35,"&lt;&gt; ")=0,SUM(G29,((G31+G32)*0.1),(G30-(G31+G32)),G33,G34,G35,),"")</f>
        <v/>
      </c>
      <c r="H37" s="36" t="s">
        <v>130</v>
      </c>
      <c r="I37" s="48"/>
      <c r="J37" s="16"/>
      <c r="K37" s="48"/>
      <c r="L37" s="48"/>
      <c r="M37" s="16"/>
      <c r="N37" s="48"/>
      <c r="O37" s="112"/>
      <c r="P37" s="16"/>
      <c r="Q37" s="28"/>
    </row>
    <row r="38" spans="1:17" ht="15" customHeight="1">
      <c r="A38" s="28"/>
      <c r="B38" s="114"/>
      <c r="C38" s="68" t="s">
        <v>123</v>
      </c>
      <c r="D38" s="69"/>
      <c r="E38" s="71"/>
      <c r="F38" s="49"/>
      <c r="G38" s="48"/>
      <c r="H38" s="36"/>
      <c r="I38" s="48"/>
      <c r="J38" s="16"/>
      <c r="K38" s="48"/>
      <c r="L38" s="48"/>
      <c r="M38" s="16"/>
      <c r="N38" s="48"/>
      <c r="O38" s="112"/>
      <c r="P38" s="16"/>
      <c r="Q38" s="28"/>
    </row>
    <row r="39" spans="1:17" ht="15" customHeight="1">
      <c r="A39" s="28"/>
      <c r="B39" s="114"/>
      <c r="C39" s="263" t="s">
        <v>287</v>
      </c>
      <c r="D39" s="72"/>
      <c r="E39" s="70"/>
      <c r="F39" s="262">
        <v>1026</v>
      </c>
      <c r="G39" s="54"/>
      <c r="H39" s="36" t="s">
        <v>131</v>
      </c>
      <c r="I39" s="61" t="str">
        <f>IF(ISTEXT(G39),"No text please",IF(G39&lt;0,"No negatives please",IF(ISBLANK(G39),"Please enter a value",IF(AND(G39=0,ISERROR(FIND("zero",K39))),"Please confirm zero",IF(AND(G39&lt;&gt;0,K39="Confirmed zero"),"Value not zero"," ")))))</f>
        <v>Please enter a value</v>
      </c>
      <c r="J39" s="16"/>
      <c r="K39" s="47"/>
      <c r="L39" s="300"/>
      <c r="M39" s="16"/>
      <c r="N39" s="302"/>
      <c r="O39" s="112"/>
      <c r="P39" s="16"/>
      <c r="Q39" s="28"/>
    </row>
    <row r="40" spans="1:17" ht="15" customHeight="1">
      <c r="A40" s="28"/>
      <c r="B40" s="114"/>
      <c r="C40" s="263" t="s">
        <v>98</v>
      </c>
      <c r="D40" s="72"/>
      <c r="E40" s="70"/>
      <c r="F40" s="262">
        <v>1027</v>
      </c>
      <c r="G40" s="54"/>
      <c r="H40" s="36" t="s">
        <v>132</v>
      </c>
      <c r="I40" s="61" t="str">
        <f>IF(ISTEXT(G40),"No text please",IF(G40&lt;0,"No negatives please",IF(ISBLANK(G40),"Please enter a value",IF(AND(G40=0,ISERROR(FIND("zero",K40))),"Please confirm zero",IF(AND(G40&lt;&gt;0,K40="Confirmed zero"),"Value not zero"," ")))))</f>
        <v>Please enter a value</v>
      </c>
      <c r="J40" s="16"/>
      <c r="K40" s="47"/>
      <c r="L40" s="300"/>
      <c r="M40" s="16"/>
      <c r="N40" s="302"/>
      <c r="O40" s="112"/>
      <c r="P40" s="16"/>
      <c r="Q40" s="28"/>
    </row>
    <row r="41" spans="1:17" ht="15" customHeight="1">
      <c r="A41" s="28"/>
      <c r="B41" s="114"/>
      <c r="C41" s="263" t="s">
        <v>99</v>
      </c>
      <c r="D41" s="72"/>
      <c r="E41" s="70"/>
      <c r="F41" s="262">
        <v>1028</v>
      </c>
      <c r="G41" s="54"/>
      <c r="H41" s="36" t="s">
        <v>133</v>
      </c>
      <c r="I41" s="61" t="str">
        <f>IF(ISTEXT(G41),"No text please",IF(G41&lt;0,"No negatives please",IF(ISBLANK(G41),"Please enter a value",IF(AND(G41=0,ISERROR(FIND("zero",K41))),"Please confirm zero",IF(AND(G41&lt;&gt;0,K41="Confirmed zero"),"Value not zero"," ")))))</f>
        <v>Please enter a value</v>
      </c>
      <c r="J41" s="16"/>
      <c r="K41" s="47"/>
      <c r="L41" s="300"/>
      <c r="M41" s="16"/>
      <c r="N41" s="302"/>
      <c r="O41" s="112"/>
      <c r="P41" s="16"/>
      <c r="Q41" s="28"/>
    </row>
    <row r="42" spans="1:17" ht="15" customHeight="1">
      <c r="A42" s="28"/>
      <c r="B42" s="114"/>
      <c r="C42" s="263" t="s">
        <v>288</v>
      </c>
      <c r="D42" s="72"/>
      <c r="E42" s="70"/>
      <c r="F42" s="262">
        <v>1029</v>
      </c>
      <c r="G42" s="54"/>
      <c r="H42" s="36" t="s">
        <v>134</v>
      </c>
      <c r="I42" s="61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16"/>
      <c r="K42" s="47"/>
      <c r="L42" s="300"/>
      <c r="M42" s="16"/>
      <c r="N42" s="302"/>
      <c r="O42" s="112"/>
      <c r="P42" s="16"/>
      <c r="Q42" s="28"/>
    </row>
    <row r="43" spans="1:17" ht="15" customHeight="1">
      <c r="A43" s="28"/>
      <c r="B43" s="114"/>
      <c r="C43" s="263" t="s">
        <v>100</v>
      </c>
      <c r="D43" s="72"/>
      <c r="E43" s="70"/>
      <c r="F43" s="262">
        <v>1030</v>
      </c>
      <c r="G43" s="54"/>
      <c r="H43" s="36" t="s">
        <v>135</v>
      </c>
      <c r="I43" s="61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16"/>
      <c r="K43" s="47"/>
      <c r="L43" s="300"/>
      <c r="M43" s="16"/>
      <c r="N43" s="302"/>
      <c r="O43" s="112"/>
      <c r="P43" s="16"/>
      <c r="Q43" s="28"/>
    </row>
    <row r="44" spans="1:17" ht="15" customHeight="1">
      <c r="A44" s="28"/>
      <c r="B44" s="115"/>
      <c r="C44" s="68" t="s">
        <v>124</v>
      </c>
      <c r="D44" s="69"/>
      <c r="E44" s="70"/>
      <c r="F44" s="262">
        <v>1031</v>
      </c>
      <c r="G44" s="199"/>
      <c r="H44" s="36" t="s">
        <v>136</v>
      </c>
      <c r="I44" s="61" t="str">
        <f>IF(ISTEXT(G44),"No text please",IF(ISBLANK(G44),"Please enter a value",IF(AND(G44=0,ISERROR(FIND("zero",K44))),"Please confirm zero",IF(AND(G44&lt;&gt;0,K44="Confirmed zero"),"Value not zero"," "))))</f>
        <v>Please enter a value</v>
      </c>
      <c r="J44" s="16"/>
      <c r="K44" s="47"/>
      <c r="L44" s="300"/>
      <c r="M44" s="16"/>
      <c r="N44" s="302"/>
      <c r="O44" s="112"/>
      <c r="P44" s="16"/>
      <c r="Q44" s="28"/>
    </row>
    <row r="45" spans="1:17" s="25" customFormat="1" ht="15" customHeight="1">
      <c r="A45" s="41"/>
      <c r="B45" s="116"/>
      <c r="C45" s="318" t="s">
        <v>304</v>
      </c>
      <c r="D45" s="318"/>
      <c r="E45" s="318"/>
      <c r="F45" s="49"/>
      <c r="G45" s="48"/>
      <c r="H45" s="38"/>
      <c r="I45" s="16"/>
      <c r="J45" s="198"/>
      <c r="K45" s="16"/>
      <c r="L45" s="16"/>
      <c r="M45" s="198"/>
      <c r="N45" s="16"/>
      <c r="O45" s="117"/>
      <c r="P45" s="16"/>
      <c r="Q45" s="41"/>
    </row>
    <row r="46" spans="1:17" ht="15" customHeight="1">
      <c r="A46" s="28"/>
      <c r="B46" s="118"/>
      <c r="C46" s="318"/>
      <c r="D46" s="318"/>
      <c r="E46" s="318"/>
      <c r="F46" s="262">
        <v>1032</v>
      </c>
      <c r="G46" s="59" t="str">
        <f>IF(AND(COUNTIF(I39:I44,"&lt;&gt; ")=0,ISNUMBER(G28),ISNUMBER(G37)),SUM(G28,G37,G39:G40,G41*0.1,G42,-G43,-G44),"")</f>
        <v/>
      </c>
      <c r="H46" s="36" t="s">
        <v>305</v>
      </c>
      <c r="I46" s="16"/>
      <c r="J46" s="16"/>
      <c r="K46" s="16"/>
      <c r="L46" s="16"/>
      <c r="M46" s="16"/>
      <c r="N46" s="16"/>
      <c r="O46" s="112"/>
      <c r="P46" s="16"/>
      <c r="Q46" s="28"/>
    </row>
    <row r="47" spans="1:17" ht="20.100000000000001" customHeight="1">
      <c r="A47" s="28"/>
      <c r="B47" s="242"/>
      <c r="C47" s="147"/>
      <c r="D47" s="147"/>
      <c r="E47" s="146"/>
      <c r="F47" s="243"/>
      <c r="G47" s="244"/>
      <c r="H47" s="245"/>
      <c r="I47" s="148"/>
      <c r="J47" s="148"/>
      <c r="K47" s="246"/>
      <c r="L47" s="148"/>
      <c r="M47" s="148"/>
      <c r="N47" s="148"/>
      <c r="O47" s="235"/>
      <c r="P47" s="16"/>
      <c r="Q47" s="28"/>
    </row>
    <row r="48" spans="1:17" ht="20.100000000000001" customHeight="1">
      <c r="A48" s="28"/>
      <c r="B48" s="75" t="s">
        <v>121</v>
      </c>
      <c r="C48" s="76"/>
      <c r="D48" s="76"/>
      <c r="E48" s="76"/>
      <c r="F48" s="76"/>
      <c r="G48" s="76"/>
      <c r="H48" s="108"/>
      <c r="I48" s="76"/>
      <c r="J48" s="76"/>
      <c r="K48" s="76"/>
      <c r="L48" s="76"/>
      <c r="M48" s="76"/>
      <c r="N48" s="76"/>
      <c r="O48" s="77"/>
      <c r="P48" s="16"/>
      <c r="Q48" s="28"/>
    </row>
    <row r="49" spans="1:17" ht="20.100000000000001" customHeight="1">
      <c r="A49" s="28"/>
      <c r="B49" s="247"/>
      <c r="C49" s="248"/>
      <c r="D49" s="248"/>
      <c r="E49" s="249"/>
      <c r="F49" s="250"/>
      <c r="G49" s="251"/>
      <c r="H49" s="252"/>
      <c r="I49" s="251"/>
      <c r="J49" s="238"/>
      <c r="K49" s="253"/>
      <c r="L49" s="251"/>
      <c r="M49" s="238"/>
      <c r="N49" s="251"/>
      <c r="O49" s="241"/>
      <c r="P49" s="16"/>
      <c r="Q49" s="28"/>
    </row>
    <row r="50" spans="1:17" ht="15" customHeight="1">
      <c r="A50" s="28"/>
      <c r="B50" s="111"/>
      <c r="C50" s="65" t="s">
        <v>418</v>
      </c>
      <c r="D50" s="66"/>
      <c r="E50" s="67"/>
      <c r="F50" s="64" t="s">
        <v>248</v>
      </c>
      <c r="G50" s="40" t="str">
        <f>G$22</f>
        <v>Amount</v>
      </c>
      <c r="H50" s="38"/>
      <c r="I50" s="44" t="str">
        <f>I$22</f>
        <v>Checks</v>
      </c>
      <c r="J50" s="16"/>
      <c r="K50" s="44" t="str">
        <f>K$22</f>
        <v>Remarks</v>
      </c>
      <c r="L50" s="44" t="str">
        <f>L$22</f>
        <v>Comments</v>
      </c>
      <c r="M50" s="16"/>
      <c r="N50" s="44" t="str">
        <f>N$22</f>
        <v>Supervisor Comments</v>
      </c>
      <c r="O50" s="112"/>
      <c r="P50" s="16"/>
      <c r="Q50" s="28"/>
    </row>
    <row r="51" spans="1:17" s="25" customFormat="1" ht="15" customHeight="1">
      <c r="A51" s="41"/>
      <c r="B51" s="116"/>
      <c r="C51" s="68" t="s">
        <v>464</v>
      </c>
      <c r="D51" s="69"/>
      <c r="E51" s="70"/>
      <c r="F51" s="262">
        <v>1033</v>
      </c>
      <c r="G51" s="54"/>
      <c r="H51" s="38" t="s">
        <v>76</v>
      </c>
      <c r="I51" s="61" t="str">
        <f>IF(ISTEXT(G51),"No text please",IF(G51&lt;0,"No negatives please",IF(ISBLANK(G51),"Please enter a value",IF(AND(G51=0,ISERROR(FIND("zero",K51))),"Please confirm zero",IF(AND(G51&lt;&gt;0,K51="Confirmed zero"),"Value not zero",IF($G$51&lt;$G$52,"&lt; 3.a.(1)"," "))))))</f>
        <v>Please enter a value</v>
      </c>
      <c r="J51" s="198"/>
      <c r="K51" s="47"/>
      <c r="L51" s="300"/>
      <c r="M51" s="198"/>
      <c r="N51" s="302"/>
      <c r="O51" s="117"/>
      <c r="P51" s="16"/>
      <c r="Q51" s="41"/>
    </row>
    <row r="52" spans="1:17" s="25" customFormat="1" ht="15" customHeight="1">
      <c r="A52" s="41"/>
      <c r="B52" s="116"/>
      <c r="C52" s="263" t="s">
        <v>211</v>
      </c>
      <c r="D52" s="72"/>
      <c r="E52" s="70"/>
      <c r="F52" s="262">
        <v>1034</v>
      </c>
      <c r="G52" s="54"/>
      <c r="H52" s="38" t="s">
        <v>212</v>
      </c>
      <c r="I52" s="61" t="str">
        <f>IF(ISTEXT(G52),"No text please",IF(G52&lt;0,"No negatives please",IF(ISBLANK(G52),"Please enter a value",IF(AND(G52=0,ISERROR(FIND("zero",K52))),"Please confirm zero",IF(AND(G52&lt;&gt;0,K52="Confirmed zero"),"Value not zero",IF($G$51&lt;$G$52,"&gt; 3.a."," "))))))</f>
        <v>Please enter a value</v>
      </c>
      <c r="J52" s="198"/>
      <c r="K52" s="47"/>
      <c r="L52" s="300"/>
      <c r="M52" s="198"/>
      <c r="N52" s="302"/>
      <c r="O52" s="117"/>
      <c r="P52" s="16"/>
      <c r="Q52" s="41"/>
    </row>
    <row r="53" spans="1:17" s="25" customFormat="1" ht="15" customHeight="1">
      <c r="A53" s="41"/>
      <c r="B53" s="116"/>
      <c r="C53" s="68" t="s">
        <v>463</v>
      </c>
      <c r="D53" s="69"/>
      <c r="E53" s="70"/>
      <c r="F53" s="262">
        <v>1035</v>
      </c>
      <c r="G53" s="54"/>
      <c r="H53" s="38" t="s">
        <v>77</v>
      </c>
      <c r="I53" s="61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198"/>
      <c r="K53" s="47"/>
      <c r="L53" s="300"/>
      <c r="M53" s="198"/>
      <c r="N53" s="302"/>
      <c r="O53" s="117"/>
      <c r="P53" s="16"/>
      <c r="Q53" s="41"/>
    </row>
    <row r="54" spans="1:17" ht="15" customHeight="1">
      <c r="A54" s="28"/>
      <c r="B54" s="116"/>
      <c r="C54" s="68" t="s">
        <v>465</v>
      </c>
      <c r="D54" s="69"/>
      <c r="E54" s="70"/>
      <c r="F54" s="49"/>
      <c r="G54" s="48"/>
      <c r="H54" s="38"/>
      <c r="I54" s="48"/>
      <c r="J54" s="16"/>
      <c r="K54" s="48"/>
      <c r="L54" s="48"/>
      <c r="M54" s="16"/>
      <c r="N54" s="48"/>
      <c r="O54" s="112"/>
      <c r="P54" s="16"/>
      <c r="Q54" s="28"/>
    </row>
    <row r="55" spans="1:17" s="25" customFormat="1" ht="15" customHeight="1">
      <c r="A55" s="41"/>
      <c r="B55" s="116"/>
      <c r="C55" s="263" t="s">
        <v>64</v>
      </c>
      <c r="D55" s="72"/>
      <c r="E55" s="70"/>
      <c r="F55" s="262">
        <v>1036</v>
      </c>
      <c r="G55" s="54"/>
      <c r="H55" s="38" t="s">
        <v>101</v>
      </c>
      <c r="I55" s="61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98"/>
      <c r="K55" s="47"/>
      <c r="L55" s="300"/>
      <c r="M55" s="198"/>
      <c r="N55" s="302"/>
      <c r="O55" s="117"/>
      <c r="P55" s="16"/>
      <c r="Q55" s="41"/>
    </row>
    <row r="56" spans="1:17" s="25" customFormat="1" ht="15" customHeight="1">
      <c r="A56" s="41"/>
      <c r="B56" s="116"/>
      <c r="C56" s="263" t="s">
        <v>65</v>
      </c>
      <c r="D56" s="72"/>
      <c r="E56" s="70"/>
      <c r="F56" s="262">
        <v>1037</v>
      </c>
      <c r="G56" s="54"/>
      <c r="H56" s="38" t="s">
        <v>102</v>
      </c>
      <c r="I56" s="61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98"/>
      <c r="K56" s="47"/>
      <c r="L56" s="300"/>
      <c r="M56" s="198"/>
      <c r="N56" s="302"/>
      <c r="O56" s="117"/>
      <c r="P56" s="16"/>
      <c r="Q56" s="41"/>
    </row>
    <row r="57" spans="1:17" s="25" customFormat="1" ht="15" customHeight="1">
      <c r="A57" s="41"/>
      <c r="B57" s="116"/>
      <c r="C57" s="263" t="s">
        <v>66</v>
      </c>
      <c r="D57" s="72"/>
      <c r="E57" s="70"/>
      <c r="F57" s="262">
        <v>1038</v>
      </c>
      <c r="G57" s="54"/>
      <c r="H57" s="38" t="s">
        <v>103</v>
      </c>
      <c r="I57" s="61" t="str">
        <f>IF(ISTEXT(G57),"No text please",IF(G57&lt;0,"No negatives please",IF(ISBLANK(G57),"Please enter a value",IF(AND(G57=0,ISERROR(FIND("zero",K57))),"Please confirm zero",IF(AND(G57&lt;&gt;0,K57="Confirmed zero"),"Value not zero"," ")))))</f>
        <v>Please enter a value</v>
      </c>
      <c r="J57" s="198"/>
      <c r="K57" s="47"/>
      <c r="L57" s="300"/>
      <c r="M57" s="198"/>
      <c r="N57" s="302"/>
      <c r="O57" s="117"/>
      <c r="P57" s="16"/>
      <c r="Q57" s="41"/>
    </row>
    <row r="58" spans="1:17" s="25" customFormat="1" ht="15" customHeight="1">
      <c r="A58" s="41"/>
      <c r="B58" s="116"/>
      <c r="C58" s="263" t="s">
        <v>67</v>
      </c>
      <c r="D58" s="72"/>
      <c r="E58" s="70"/>
      <c r="F58" s="262">
        <v>1039</v>
      </c>
      <c r="G58" s="54"/>
      <c r="H58" s="38" t="s">
        <v>104</v>
      </c>
      <c r="I58" s="61" t="str">
        <f>IF(ISTEXT(G58),"No text please",IF(G58&lt;0,"No negatives please",IF(ISBLANK(G58),"Please enter a value",IF(AND(G58=0,ISERROR(FIND("zero",K58))),"Please confirm zero",IF(AND(G58&lt;&gt;0,K58="Confirmed zero"),"Value not zero"," ")))))</f>
        <v>Please enter a value</v>
      </c>
      <c r="J58" s="198"/>
      <c r="K58" s="47"/>
      <c r="L58" s="300"/>
      <c r="M58" s="198"/>
      <c r="N58" s="302"/>
      <c r="O58" s="117"/>
      <c r="P58" s="16"/>
      <c r="Q58" s="41"/>
    </row>
    <row r="59" spans="1:17" s="25" customFormat="1" ht="15" customHeight="1">
      <c r="A59" s="41"/>
      <c r="B59" s="116"/>
      <c r="C59" s="263" t="s">
        <v>290</v>
      </c>
      <c r="D59" s="72"/>
      <c r="E59" s="70"/>
      <c r="F59" s="262">
        <v>1040</v>
      </c>
      <c r="G59" s="54"/>
      <c r="H59" s="38" t="s">
        <v>105</v>
      </c>
      <c r="I59" s="61" t="str">
        <f>IF(ISTEXT(G59),"No text please",IF(G59&lt;0,"No negatives please",IF(ISBLANK(G59),"Please enter a value",IF(AND(G59=0,ISERROR(FIND("zero",K59))),"Please confirm zero",IF(AND(G59&lt;&gt;0,K59="Confirmed zero"),"Value not zero",IF($G$59&lt;$G$60,"&lt; 3.c.(6)"," "))))))</f>
        <v>Please enter a value</v>
      </c>
      <c r="J59" s="198"/>
      <c r="K59" s="47"/>
      <c r="L59" s="300"/>
      <c r="M59" s="198"/>
      <c r="N59" s="302"/>
      <c r="O59" s="117"/>
      <c r="P59" s="16"/>
      <c r="Q59" s="41"/>
    </row>
    <row r="60" spans="1:17" s="25" customFormat="1" ht="15" customHeight="1">
      <c r="A60" s="41"/>
      <c r="B60" s="116"/>
      <c r="C60" s="139" t="s">
        <v>442</v>
      </c>
      <c r="D60" s="140"/>
      <c r="E60" s="70"/>
      <c r="F60" s="262">
        <v>1041</v>
      </c>
      <c r="G60" s="54"/>
      <c r="H60" s="38" t="s">
        <v>106</v>
      </c>
      <c r="I60" s="61" t="str">
        <f>IF(ISTEXT(G60),"No text please",IF(G60&lt;0,"No negatives please",IF(ISBLANK(G60),"Please enter a value",IF(AND(G60=0,ISERROR(FIND("zero",K60))),"Please confirm zero",IF(AND(G60&lt;&gt;0,K60="Confirmed zero"),"Value not zero",IF($G$59&lt;$G$60,"&gt; 3.c.(5)"," "))))))</f>
        <v>Please enter a value</v>
      </c>
      <c r="J60" s="198"/>
      <c r="K60" s="47"/>
      <c r="L60" s="300"/>
      <c r="M60" s="198"/>
      <c r="N60" s="302"/>
      <c r="O60" s="117"/>
      <c r="P60" s="16"/>
      <c r="Q60" s="41"/>
    </row>
    <row r="61" spans="1:17" s="25" customFormat="1" ht="15" customHeight="1">
      <c r="A61" s="41"/>
      <c r="B61" s="116"/>
      <c r="C61" s="68" t="s">
        <v>471</v>
      </c>
      <c r="D61" s="69"/>
      <c r="E61" s="70"/>
      <c r="F61" s="262">
        <v>1042</v>
      </c>
      <c r="G61" s="54"/>
      <c r="H61" s="38" t="s">
        <v>78</v>
      </c>
      <c r="I61" s="61" t="str">
        <f>IF(ISTEXT(G61),"No text please",IF(G61&lt;0,"No negatives please",IF(ISBLANK(G61),"Please enter a value",IF(AND(G61=0,ISERROR(FIND("zero",K61))),"Please confirm zero",IF(AND(G61&lt;&gt;0,K61="Confirmed zero"),"Value not zero"," ")))))</f>
        <v>Please enter a value</v>
      </c>
      <c r="J61" s="198"/>
      <c r="K61" s="47"/>
      <c r="L61" s="300"/>
      <c r="M61" s="198"/>
      <c r="N61" s="302"/>
      <c r="O61" s="117"/>
      <c r="P61" s="16"/>
      <c r="Q61" s="41"/>
    </row>
    <row r="62" spans="1:17" ht="15" customHeight="1">
      <c r="A62" s="28"/>
      <c r="B62" s="116"/>
      <c r="C62" s="68" t="s">
        <v>466</v>
      </c>
      <c r="D62" s="69"/>
      <c r="E62" s="70"/>
      <c r="F62" s="49"/>
      <c r="G62" s="48"/>
      <c r="H62" s="38"/>
      <c r="I62" s="48"/>
      <c r="J62" s="16"/>
      <c r="K62" s="48"/>
      <c r="L62" s="48"/>
      <c r="M62" s="16"/>
      <c r="N62" s="48"/>
      <c r="O62" s="112"/>
      <c r="P62" s="16"/>
      <c r="Q62" s="28"/>
    </row>
    <row r="63" spans="1:17" s="25" customFormat="1" ht="15" customHeight="1">
      <c r="A63" s="41"/>
      <c r="B63" s="116"/>
      <c r="C63" s="263" t="s">
        <v>291</v>
      </c>
      <c r="D63" s="72"/>
      <c r="E63" s="70"/>
      <c r="F63" s="58">
        <v>1043</v>
      </c>
      <c r="G63" s="54"/>
      <c r="H63" s="38" t="s">
        <v>59</v>
      </c>
      <c r="I63" s="61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98"/>
      <c r="K63" s="47"/>
      <c r="L63" s="300"/>
      <c r="M63" s="198"/>
      <c r="N63" s="302"/>
      <c r="O63" s="117"/>
      <c r="P63" s="16"/>
      <c r="Q63" s="41"/>
    </row>
    <row r="64" spans="1:17" s="25" customFormat="1" ht="15" customHeight="1">
      <c r="A64" s="41"/>
      <c r="B64" s="116"/>
      <c r="C64" s="263" t="s">
        <v>68</v>
      </c>
      <c r="D64" s="72"/>
      <c r="E64" s="70"/>
      <c r="F64" s="262">
        <v>1044</v>
      </c>
      <c r="G64" s="54"/>
      <c r="H64" s="38" t="s">
        <v>107</v>
      </c>
      <c r="I64" s="61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98"/>
      <c r="K64" s="47"/>
      <c r="L64" s="300"/>
      <c r="M64" s="198"/>
      <c r="N64" s="302"/>
      <c r="O64" s="117"/>
      <c r="P64" s="16"/>
      <c r="Q64" s="41"/>
    </row>
    <row r="65" spans="1:17" s="25" customFormat="1" ht="15" customHeight="1">
      <c r="A65" s="41"/>
      <c r="B65" s="116"/>
      <c r="C65" s="315" t="s">
        <v>213</v>
      </c>
      <c r="D65" s="316"/>
      <c r="E65" s="317"/>
      <c r="F65" s="49"/>
      <c r="G65" s="48"/>
      <c r="H65" s="38"/>
      <c r="I65" s="16"/>
      <c r="J65" s="198"/>
      <c r="K65" s="16"/>
      <c r="L65" s="16"/>
      <c r="M65" s="198"/>
      <c r="N65" s="16"/>
      <c r="O65" s="117"/>
      <c r="P65" s="16"/>
      <c r="Q65" s="41"/>
    </row>
    <row r="66" spans="1:17" ht="15" customHeight="1">
      <c r="A66" s="28"/>
      <c r="B66" s="116"/>
      <c r="C66" s="315"/>
      <c r="D66" s="316"/>
      <c r="E66" s="317"/>
      <c r="F66" s="262">
        <v>1045</v>
      </c>
      <c r="G66" s="59" t="str">
        <f>IF(COUNTIF(I51:I53,"&lt;&gt; ")+COUNTIF(I55:I61,"&lt;&gt; ")+COUNTIF(I63:I64,"&lt;&gt; ")=0,G51+G53+SUM(G55:G58)+MAX((G59-G60),0)+G61+G63+G64,"")</f>
        <v/>
      </c>
      <c r="H66" s="38" t="s">
        <v>85</v>
      </c>
      <c r="I66" s="16"/>
      <c r="J66" s="16"/>
      <c r="K66" s="16"/>
      <c r="L66" s="16"/>
      <c r="M66" s="16"/>
      <c r="N66" s="16"/>
      <c r="O66" s="112"/>
      <c r="P66" s="16"/>
      <c r="Q66" s="28"/>
    </row>
    <row r="67" spans="1:17" ht="30" customHeight="1">
      <c r="A67" s="28"/>
      <c r="B67" s="119"/>
      <c r="C67" s="33"/>
      <c r="D67" s="33"/>
      <c r="E67" s="23"/>
      <c r="F67" s="45"/>
      <c r="G67" s="24"/>
      <c r="H67" s="38"/>
      <c r="I67" s="24"/>
      <c r="J67" s="16"/>
      <c r="K67" s="15"/>
      <c r="L67" s="24"/>
      <c r="M67" s="16"/>
      <c r="N67" s="24"/>
      <c r="O67" s="112"/>
      <c r="P67" s="16"/>
      <c r="Q67" s="28"/>
    </row>
    <row r="68" spans="1:17" ht="15" customHeight="1">
      <c r="A68" s="28"/>
      <c r="B68" s="111"/>
      <c r="C68" s="65" t="s">
        <v>419</v>
      </c>
      <c r="D68" s="66"/>
      <c r="E68" s="67"/>
      <c r="F68" s="83" t="s">
        <v>248</v>
      </c>
      <c r="G68" s="40" t="str">
        <f>G$22</f>
        <v>Amount</v>
      </c>
      <c r="H68" s="38"/>
      <c r="I68" s="44" t="str">
        <f>I$22</f>
        <v>Checks</v>
      </c>
      <c r="J68" s="16"/>
      <c r="K68" s="44" t="str">
        <f>K$22</f>
        <v>Remarks</v>
      </c>
      <c r="L68" s="44" t="str">
        <f>L$22</f>
        <v>Comments</v>
      </c>
      <c r="M68" s="16"/>
      <c r="N68" s="44" t="str">
        <f>N$22</f>
        <v>Supervisor Comments</v>
      </c>
      <c r="O68" s="112"/>
      <c r="P68" s="16"/>
      <c r="Q68" s="28"/>
    </row>
    <row r="69" spans="1:17" s="25" customFormat="1" ht="15" customHeight="1">
      <c r="A69" s="41"/>
      <c r="B69" s="118"/>
      <c r="C69" s="68" t="s">
        <v>69</v>
      </c>
      <c r="D69" s="69"/>
      <c r="E69" s="70"/>
      <c r="F69" s="262">
        <v>1046</v>
      </c>
      <c r="G69" s="54"/>
      <c r="H69" s="38" t="s">
        <v>108</v>
      </c>
      <c r="I69" s="61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98"/>
      <c r="K69" s="47"/>
      <c r="L69" s="300"/>
      <c r="M69" s="198"/>
      <c r="N69" s="302"/>
      <c r="O69" s="117"/>
      <c r="P69" s="16"/>
      <c r="Q69" s="41"/>
    </row>
    <row r="70" spans="1:17" s="25" customFormat="1" ht="15" customHeight="1">
      <c r="A70" s="41"/>
      <c r="B70" s="118"/>
      <c r="C70" s="68" t="s">
        <v>70</v>
      </c>
      <c r="D70" s="69"/>
      <c r="E70" s="70"/>
      <c r="F70" s="262">
        <v>1047</v>
      </c>
      <c r="G70" s="54"/>
      <c r="H70" s="38" t="s">
        <v>109</v>
      </c>
      <c r="I70" s="61" t="str">
        <f>IF(ISTEXT(G70),"No text please",IF(G70&lt;0,"No negatives please",IF(ISBLANK(G70),"Please enter a value",IF(AND(G70=0,ISERROR(FIND("zero",K70))),"Please confirm zero",IF(AND(G70&lt;&gt;0,K70="Confirmed zero"),"Value not zero"," ")))))</f>
        <v>Please enter a value</v>
      </c>
      <c r="J70" s="198"/>
      <c r="K70" s="47"/>
      <c r="L70" s="300"/>
      <c r="M70" s="198"/>
      <c r="N70" s="302"/>
      <c r="O70" s="117"/>
      <c r="P70" s="16"/>
      <c r="Q70" s="41"/>
    </row>
    <row r="71" spans="1:17" s="25" customFormat="1" ht="15" customHeight="1">
      <c r="A71" s="41"/>
      <c r="B71" s="118"/>
      <c r="C71" s="68" t="s">
        <v>467</v>
      </c>
      <c r="D71" s="69"/>
      <c r="E71" s="70"/>
      <c r="F71" s="262">
        <v>1048</v>
      </c>
      <c r="G71" s="54"/>
      <c r="H71" s="38" t="s">
        <v>110</v>
      </c>
      <c r="I71" s="61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98"/>
      <c r="K71" s="47"/>
      <c r="L71" s="300"/>
      <c r="M71" s="198"/>
      <c r="N71" s="302"/>
      <c r="O71" s="117"/>
      <c r="P71" s="16"/>
      <c r="Q71" s="41"/>
    </row>
    <row r="72" spans="1:17" s="25" customFormat="1" ht="15" customHeight="1">
      <c r="A72" s="41"/>
      <c r="B72" s="118"/>
      <c r="C72" s="68" t="s">
        <v>472</v>
      </c>
      <c r="D72" s="69"/>
      <c r="E72" s="70"/>
      <c r="F72" s="262">
        <v>1049</v>
      </c>
      <c r="G72" s="54"/>
      <c r="H72" s="38" t="s">
        <v>111</v>
      </c>
      <c r="I72" s="61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198"/>
      <c r="K72" s="47"/>
      <c r="L72" s="300"/>
      <c r="M72" s="198"/>
      <c r="N72" s="302"/>
      <c r="O72" s="117"/>
      <c r="P72" s="16"/>
      <c r="Q72" s="41"/>
    </row>
    <row r="73" spans="1:17" s="25" customFormat="1" ht="15" customHeight="1">
      <c r="A73" s="41"/>
      <c r="B73" s="118"/>
      <c r="C73" s="68" t="s">
        <v>468</v>
      </c>
      <c r="D73" s="69"/>
      <c r="E73" s="70"/>
      <c r="F73" s="49"/>
      <c r="G73" s="48"/>
      <c r="H73" s="38"/>
      <c r="I73" s="48"/>
      <c r="J73" s="16"/>
      <c r="K73" s="48"/>
      <c r="L73" s="48"/>
      <c r="M73" s="41"/>
      <c r="N73" s="48"/>
      <c r="O73" s="112"/>
      <c r="P73" s="16"/>
      <c r="Q73" s="41"/>
    </row>
    <row r="74" spans="1:17" s="25" customFormat="1" ht="15" customHeight="1">
      <c r="A74" s="41"/>
      <c r="B74" s="118"/>
      <c r="C74" s="263" t="s">
        <v>292</v>
      </c>
      <c r="D74" s="72"/>
      <c r="E74" s="70"/>
      <c r="F74" s="262">
        <v>1050</v>
      </c>
      <c r="G74" s="54"/>
      <c r="H74" s="38" t="s">
        <v>112</v>
      </c>
      <c r="I74" s="61" t="str">
        <f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198"/>
      <c r="K74" s="47"/>
      <c r="L74" s="300"/>
      <c r="M74" s="198"/>
      <c r="N74" s="302"/>
      <c r="O74" s="117"/>
      <c r="P74" s="16"/>
      <c r="Q74" s="41"/>
    </row>
    <row r="75" spans="1:17" s="25" customFormat="1" ht="15" customHeight="1">
      <c r="A75" s="41"/>
      <c r="B75" s="118"/>
      <c r="C75" s="263" t="s">
        <v>68</v>
      </c>
      <c r="D75" s="72"/>
      <c r="E75" s="70"/>
      <c r="F75" s="262">
        <v>1051</v>
      </c>
      <c r="G75" s="54"/>
      <c r="H75" s="38" t="s">
        <v>113</v>
      </c>
      <c r="I75" s="61" t="str">
        <f>IF(ISTEXT(G75),"No text please",IF(G75&lt;0,"No negatives please",IF(ISBLANK(G75),"Please enter a value",IF(AND(G75=0,ISERROR(FIND("zero",K75))),"Please confirm zero",IF(AND(G75&lt;&gt;0,K75="Confirmed zero"),"Value not zero"," ")))))</f>
        <v>Please enter a value</v>
      </c>
      <c r="J75" s="198"/>
      <c r="K75" s="47"/>
      <c r="L75" s="300"/>
      <c r="M75" s="198"/>
      <c r="N75" s="302"/>
      <c r="O75" s="117"/>
      <c r="P75" s="16"/>
      <c r="Q75" s="41"/>
    </row>
    <row r="76" spans="1:17" s="25" customFormat="1" ht="15" customHeight="1">
      <c r="A76" s="41"/>
      <c r="B76" s="118"/>
      <c r="C76" s="269" t="s">
        <v>306</v>
      </c>
      <c r="D76" s="270"/>
      <c r="E76" s="82"/>
      <c r="F76" s="262">
        <v>1052</v>
      </c>
      <c r="G76" s="59" t="str">
        <f>IF(COUNTIF(I69:I72,"&lt;&gt; ")+COUNTIF(I74:I75,"&lt;&gt; ")=0,SUM(G69:G71)+G72+G74+G75,"")</f>
        <v/>
      </c>
      <c r="H76" s="38" t="s">
        <v>307</v>
      </c>
      <c r="I76" s="16"/>
      <c r="J76" s="198"/>
      <c r="K76" s="16"/>
      <c r="L76" s="16"/>
      <c r="M76" s="198"/>
      <c r="N76" s="16"/>
      <c r="O76" s="112"/>
      <c r="P76" s="16"/>
      <c r="Q76" s="41"/>
    </row>
    <row r="77" spans="1:17" s="25" customFormat="1" ht="30" customHeight="1">
      <c r="A77" s="41"/>
      <c r="B77" s="119"/>
      <c r="C77" s="34"/>
      <c r="D77" s="34"/>
      <c r="E77" s="35"/>
      <c r="F77" s="46"/>
      <c r="G77" s="26"/>
      <c r="H77" s="32"/>
      <c r="I77" s="27"/>
      <c r="J77" s="198"/>
      <c r="K77" s="15"/>
      <c r="L77" s="18"/>
      <c r="M77" s="198"/>
      <c r="N77" s="18"/>
      <c r="O77" s="117"/>
      <c r="P77" s="16"/>
      <c r="Q77" s="41"/>
    </row>
    <row r="78" spans="1:17" ht="15" customHeight="1">
      <c r="A78" s="28"/>
      <c r="B78" s="111"/>
      <c r="C78" s="65" t="s">
        <v>420</v>
      </c>
      <c r="D78" s="66"/>
      <c r="E78" s="67"/>
      <c r="F78" s="64" t="s">
        <v>248</v>
      </c>
      <c r="G78" s="40" t="str">
        <f>G$22</f>
        <v>Amount</v>
      </c>
      <c r="H78" s="38"/>
      <c r="I78" s="44" t="str">
        <f>I$22</f>
        <v>Checks</v>
      </c>
      <c r="J78" s="16"/>
      <c r="K78" s="44" t="str">
        <f>K$22</f>
        <v>Remarks</v>
      </c>
      <c r="L78" s="44" t="str">
        <f>L$22</f>
        <v>Comments</v>
      </c>
      <c r="M78" s="16"/>
      <c r="N78" s="44" t="str">
        <f>N$22</f>
        <v>Supervisor Comments</v>
      </c>
      <c r="O78" s="112"/>
      <c r="P78" s="16"/>
      <c r="Q78" s="28"/>
    </row>
    <row r="79" spans="1:17" s="25" customFormat="1" ht="15" customHeight="1">
      <c r="A79" s="41"/>
      <c r="B79" s="118"/>
      <c r="C79" s="68" t="s">
        <v>79</v>
      </c>
      <c r="D79" s="69"/>
      <c r="E79" s="70"/>
      <c r="F79" s="262">
        <v>1053</v>
      </c>
      <c r="G79" s="54"/>
      <c r="H79" s="38" t="s">
        <v>114</v>
      </c>
      <c r="I79" s="61" t="str">
        <f>IF(ISTEXT(G79),"No text please",IF(G79&lt;0,"No negatives please",IF(ISBLANK(G79),"Please enter a value",IF(AND(G79=0,ISERROR(FIND("zero",K79))),"Please confirm zero",IF(AND(G79&lt;&gt;0,K79="Confirmed zero"),"Value not zero"," ")))))</f>
        <v>Please enter a value</v>
      </c>
      <c r="J79" s="198"/>
      <c r="K79" s="47"/>
      <c r="L79" s="300"/>
      <c r="M79" s="198"/>
      <c r="N79" s="302"/>
      <c r="O79" s="117"/>
      <c r="P79" s="16"/>
      <c r="Q79" s="41"/>
    </row>
    <row r="80" spans="1:17" s="25" customFormat="1" ht="15" customHeight="1">
      <c r="A80" s="41"/>
      <c r="B80" s="118"/>
      <c r="C80" s="68" t="s">
        <v>80</v>
      </c>
      <c r="D80" s="69"/>
      <c r="E80" s="70"/>
      <c r="F80" s="262">
        <v>1054</v>
      </c>
      <c r="G80" s="54"/>
      <c r="H80" s="38" t="s">
        <v>115</v>
      </c>
      <c r="I80" s="61" t="str">
        <f>IF(ISTEXT(G80),"No text please",IF(G80&lt;0,"No negatives please",IF(ISBLANK(G80),"Please enter a value",IF(AND(G80=0,ISERROR(FIND("zero",K80))),"Please confirm zero",IF(AND(G80&lt;&gt;0,K80="Confirmed zero"),"Value not zero"," ")))))</f>
        <v>Please enter a value</v>
      </c>
      <c r="J80" s="198"/>
      <c r="K80" s="47"/>
      <c r="L80" s="300"/>
      <c r="M80" s="198"/>
      <c r="N80" s="302"/>
      <c r="O80" s="117"/>
      <c r="P80" s="16"/>
      <c r="Q80" s="41"/>
    </row>
    <row r="81" spans="1:17" s="25" customFormat="1" ht="15" customHeight="1">
      <c r="A81" s="41"/>
      <c r="B81" s="118"/>
      <c r="C81" s="68" t="s">
        <v>81</v>
      </c>
      <c r="D81" s="69"/>
      <c r="E81" s="70"/>
      <c r="F81" s="262">
        <v>1055</v>
      </c>
      <c r="G81" s="54"/>
      <c r="H81" s="38" t="s">
        <v>116</v>
      </c>
      <c r="I81" s="61" t="str">
        <f>IF(ISTEXT(G81),"No text please",IF(G81&lt;0,"No negatives please",IF(ISBLANK(G81),"Please enter a value",IF(AND(G81=0,ISERROR(FIND("zero",K81))),"Please confirm zero",IF(AND(G81&lt;&gt;0,K81="Confirmed zero"),"Value not zero"," ")))))</f>
        <v>Please enter a value</v>
      </c>
      <c r="J81" s="198"/>
      <c r="K81" s="47"/>
      <c r="L81" s="300"/>
      <c r="M81" s="198"/>
      <c r="N81" s="302"/>
      <c r="O81" s="117"/>
      <c r="P81" s="16"/>
      <c r="Q81" s="41"/>
    </row>
    <row r="82" spans="1:17" s="25" customFormat="1" ht="15" customHeight="1">
      <c r="A82" s="41"/>
      <c r="B82" s="118"/>
      <c r="C82" s="68" t="s">
        <v>82</v>
      </c>
      <c r="D82" s="69"/>
      <c r="E82" s="70"/>
      <c r="F82" s="262">
        <v>1056</v>
      </c>
      <c r="G82" s="54"/>
      <c r="H82" s="38" t="s">
        <v>117</v>
      </c>
      <c r="I82" s="61" t="str">
        <f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98"/>
      <c r="K82" s="47"/>
      <c r="L82" s="300"/>
      <c r="M82" s="198"/>
      <c r="N82" s="302"/>
      <c r="O82" s="117"/>
      <c r="P82" s="16"/>
      <c r="Q82" s="41"/>
    </row>
    <row r="83" spans="1:17" s="25" customFormat="1" ht="15" customHeight="1">
      <c r="A83" s="41"/>
      <c r="B83" s="118"/>
      <c r="C83" s="68" t="s">
        <v>83</v>
      </c>
      <c r="D83" s="69"/>
      <c r="E83" s="70"/>
      <c r="F83" s="262">
        <v>1057</v>
      </c>
      <c r="G83" s="54"/>
      <c r="H83" s="38" t="s">
        <v>118</v>
      </c>
      <c r="I83" s="61" t="str">
        <f>IF(ISTEXT(G83),"No text please",IF(G83&lt;0,"No negatives please",IF(ISBLANK(G83),"Please enter a value",IF(AND(G83=0,ISERROR(FIND("zero",K83))),"Please confirm zero",IF(AND(G83&lt;&gt;0,K83="Confirmed zero"),"Value not zero",IF($G$83&lt;$G$164,"&lt; 15.d"," "))))))</f>
        <v>Please enter a value</v>
      </c>
      <c r="J83" s="198"/>
      <c r="K83" s="47"/>
      <c r="L83" s="300"/>
      <c r="M83" s="198"/>
      <c r="N83" s="302"/>
      <c r="O83" s="117"/>
      <c r="P83" s="16"/>
      <c r="Q83" s="41"/>
    </row>
    <row r="84" spans="1:17" s="25" customFormat="1" ht="15" customHeight="1">
      <c r="A84" s="41"/>
      <c r="B84" s="118"/>
      <c r="C84" s="68" t="s">
        <v>84</v>
      </c>
      <c r="D84" s="69"/>
      <c r="E84" s="70"/>
      <c r="F84" s="262">
        <v>1058</v>
      </c>
      <c r="G84" s="54"/>
      <c r="H84" s="38" t="s">
        <v>119</v>
      </c>
      <c r="I84" s="61" t="str">
        <f>IF(ISTEXT(G84),"No text please",IF(G84&lt;0,"No negatives please",IF(ISBLANK(G84),"Please enter a value",IF(AND(G84=0,ISERROR(FIND("zero",K84))),"Please confirm zero",IF(AND(G84&lt;&gt;0,K84="Confirmed zero"),"Value not zero"," ")))))</f>
        <v>Please enter a value</v>
      </c>
      <c r="J84" s="198"/>
      <c r="K84" s="47"/>
      <c r="L84" s="300"/>
      <c r="M84" s="198"/>
      <c r="N84" s="302"/>
      <c r="O84" s="117"/>
      <c r="P84" s="16"/>
      <c r="Q84" s="41"/>
    </row>
    <row r="85" spans="1:17" s="25" customFormat="1" ht="15" customHeight="1">
      <c r="A85" s="41"/>
      <c r="B85" s="118"/>
      <c r="C85" s="68" t="s">
        <v>210</v>
      </c>
      <c r="D85" s="69"/>
      <c r="E85" s="70"/>
      <c r="F85" s="262">
        <v>1059</v>
      </c>
      <c r="G85" s="54"/>
      <c r="H85" s="38" t="s">
        <v>120</v>
      </c>
      <c r="I85" s="61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198"/>
      <c r="K85" s="47"/>
      <c r="L85" s="300"/>
      <c r="M85" s="198"/>
      <c r="N85" s="302"/>
      <c r="O85" s="117"/>
      <c r="P85" s="16"/>
      <c r="Q85" s="41"/>
    </row>
    <row r="86" spans="1:17" ht="15" customHeight="1">
      <c r="A86" s="28"/>
      <c r="B86" s="118"/>
      <c r="C86" s="269" t="s">
        <v>308</v>
      </c>
      <c r="D86" s="270"/>
      <c r="E86" s="82"/>
      <c r="F86" s="262">
        <v>1060</v>
      </c>
      <c r="G86" s="59" t="str">
        <f>IF(COUNTIF(I79:I85,"&lt;&gt; ")=0,SUM(G79:G85),"")</f>
        <v/>
      </c>
      <c r="H86" s="38" t="s">
        <v>309</v>
      </c>
      <c r="I86" s="16"/>
      <c r="J86" s="16"/>
      <c r="K86" s="16"/>
      <c r="L86" s="16"/>
      <c r="M86" s="16"/>
      <c r="N86" s="16"/>
      <c r="O86" s="112"/>
      <c r="P86" s="16"/>
      <c r="Q86" s="28"/>
    </row>
    <row r="87" spans="1:17" ht="20.100000000000001" customHeight="1">
      <c r="A87" s="28"/>
      <c r="B87" s="231"/>
      <c r="C87" s="232"/>
      <c r="D87" s="232"/>
      <c r="E87" s="148"/>
      <c r="F87" s="233"/>
      <c r="G87" s="148"/>
      <c r="H87" s="234"/>
      <c r="I87" s="148"/>
      <c r="J87" s="148"/>
      <c r="K87" s="148"/>
      <c r="L87" s="148"/>
      <c r="M87" s="148"/>
      <c r="N87" s="148"/>
      <c r="O87" s="235"/>
      <c r="P87" s="16"/>
      <c r="Q87" s="28"/>
    </row>
    <row r="88" spans="1:17" ht="20.100000000000001" customHeight="1">
      <c r="A88" s="28"/>
      <c r="B88" s="75" t="s">
        <v>137</v>
      </c>
      <c r="C88" s="76"/>
      <c r="D88" s="76"/>
      <c r="E88" s="76"/>
      <c r="F88" s="76"/>
      <c r="G88" s="76"/>
      <c r="H88" s="108"/>
      <c r="I88" s="76"/>
      <c r="J88" s="76"/>
      <c r="K88" s="76"/>
      <c r="L88" s="76"/>
      <c r="M88" s="76"/>
      <c r="N88" s="76"/>
      <c r="O88" s="77"/>
      <c r="P88" s="16"/>
      <c r="Q88" s="28"/>
    </row>
    <row r="89" spans="1:17" ht="20.100000000000001" customHeight="1">
      <c r="A89" s="28"/>
      <c r="B89" s="247"/>
      <c r="C89" s="248"/>
      <c r="D89" s="248"/>
      <c r="E89" s="249"/>
      <c r="F89" s="250"/>
      <c r="G89" s="251"/>
      <c r="H89" s="252"/>
      <c r="I89" s="251"/>
      <c r="J89" s="238"/>
      <c r="K89" s="253"/>
      <c r="L89" s="251"/>
      <c r="M89" s="238"/>
      <c r="N89" s="251"/>
      <c r="O89" s="241"/>
      <c r="P89" s="16"/>
      <c r="Q89" s="28"/>
    </row>
    <row r="90" spans="1:17" ht="15" customHeight="1">
      <c r="A90" s="28"/>
      <c r="B90" s="119"/>
      <c r="C90" s="322" t="s">
        <v>421</v>
      </c>
      <c r="D90" s="310" t="s">
        <v>233</v>
      </c>
      <c r="E90" s="310" t="str">
        <f>IF(OR($G$10="&lt;select&gt;",$G$14="&lt;select&gt;"),"Amount in specified currency","Amount in "&amp;VLOOKUP($G$14,Parameters!$E$69:$G$72,3,FALSE)&amp;"of the specified currency")</f>
        <v>Amount in specified currency</v>
      </c>
      <c r="F90" s="40"/>
      <c r="G90" s="309" t="str">
        <f>G$22</f>
        <v>Amount</v>
      </c>
      <c r="H90" s="32"/>
      <c r="I90" s="24"/>
      <c r="J90" s="16"/>
      <c r="K90" s="15"/>
      <c r="L90" s="24"/>
      <c r="M90" s="16"/>
      <c r="N90" s="24"/>
      <c r="O90" s="112"/>
      <c r="P90" s="16"/>
      <c r="Q90" s="28"/>
    </row>
    <row r="91" spans="1:17" ht="15" customHeight="1">
      <c r="A91" s="28"/>
      <c r="B91" s="113"/>
      <c r="C91" s="323"/>
      <c r="D91" s="310"/>
      <c r="E91" s="310"/>
      <c r="F91" s="64" t="s">
        <v>248</v>
      </c>
      <c r="G91" s="309"/>
      <c r="H91" s="38"/>
      <c r="I91" s="44" t="str">
        <f>I$22</f>
        <v>Checks</v>
      </c>
      <c r="J91" s="16"/>
      <c r="K91" s="44" t="str">
        <f>K$22</f>
        <v>Remarks</v>
      </c>
      <c r="L91" s="44" t="str">
        <f>L$22</f>
        <v>Comments</v>
      </c>
      <c r="M91" s="16"/>
      <c r="N91" s="44" t="str">
        <f>N$22</f>
        <v>Supervisor Comments</v>
      </c>
      <c r="O91" s="112"/>
      <c r="P91" s="16"/>
      <c r="Q91" s="28"/>
    </row>
    <row r="92" spans="1:17" ht="15" customHeight="1">
      <c r="A92" s="28"/>
      <c r="B92" s="113"/>
      <c r="C92" s="68" t="s">
        <v>220</v>
      </c>
      <c r="D92" s="268" t="s">
        <v>16</v>
      </c>
      <c r="E92" s="95"/>
      <c r="F92" s="262">
        <v>1061</v>
      </c>
      <c r="G92" s="96" t="str">
        <f t="shared" ref="G92:G103" si="0">IF(AND(ISNUMBER(E92),VLOOKUP(D92,$D$229:$I$243,COLUMNS($D$229:$I$243),FALSE)=" "),E92*VLOOKUP(D92,$D$229:$E$243,2,FALSE)," ")</f>
        <v xml:space="preserve"> </v>
      </c>
      <c r="H92" s="38" t="s">
        <v>138</v>
      </c>
      <c r="I92" s="61" t="str">
        <f t="shared" ref="I92:I103" si="1">IF(ISTEXT(E92),"No text please",IF(E92&lt;0,"No negatives please",IF(ISBLANK(E92),"Please enter a value",IF(AND(E92=0,ISERROR(FIND("zero",K92))),"Please confirm zero",IF(AND(E92&lt;&gt;0,K92="Confirmed zero"),"Value not zero",IF(VLOOKUP(D92,$D$229:$I$243,COLUMNS($D$229:$I$243),FALSE)&lt;&gt;" ","See item "&amp;VLOOKUP(D92,$D$229:$I$243,COLUMNS($D$229:$I$243)-1,FALSE)," "))))))</f>
        <v>Please enter a value</v>
      </c>
      <c r="J92" s="16"/>
      <c r="K92" s="47"/>
      <c r="L92" s="300"/>
      <c r="M92" s="16"/>
      <c r="N92" s="302"/>
      <c r="O92" s="112"/>
      <c r="P92" s="16"/>
      <c r="Q92" s="28"/>
    </row>
    <row r="93" spans="1:17" ht="15" customHeight="1">
      <c r="A93" s="28"/>
      <c r="B93" s="113"/>
      <c r="C93" s="68" t="s">
        <v>221</v>
      </c>
      <c r="D93" s="268" t="s">
        <v>21</v>
      </c>
      <c r="E93" s="97"/>
      <c r="F93" s="262">
        <v>1062</v>
      </c>
      <c r="G93" s="96" t="str">
        <f t="shared" si="0"/>
        <v xml:space="preserve"> </v>
      </c>
      <c r="H93" s="38" t="s">
        <v>139</v>
      </c>
      <c r="I93" s="61" t="str">
        <f t="shared" si="1"/>
        <v>Please enter a value</v>
      </c>
      <c r="J93" s="16"/>
      <c r="K93" s="47"/>
      <c r="L93" s="300"/>
      <c r="M93" s="16"/>
      <c r="N93" s="302"/>
      <c r="O93" s="112"/>
      <c r="P93" s="16"/>
      <c r="Q93" s="28"/>
    </row>
    <row r="94" spans="1:17" ht="15" customHeight="1">
      <c r="A94" s="28"/>
      <c r="B94" s="113"/>
      <c r="C94" s="68" t="s">
        <v>222</v>
      </c>
      <c r="D94" s="268" t="s">
        <v>17</v>
      </c>
      <c r="E94" s="98"/>
      <c r="F94" s="262">
        <v>1063</v>
      </c>
      <c r="G94" s="96" t="str">
        <f t="shared" si="0"/>
        <v xml:space="preserve"> </v>
      </c>
      <c r="H94" s="38" t="s">
        <v>140</v>
      </c>
      <c r="I94" s="61" t="str">
        <f t="shared" si="1"/>
        <v>Please enter a value</v>
      </c>
      <c r="J94" s="16"/>
      <c r="K94" s="47"/>
      <c r="L94" s="300"/>
      <c r="M94" s="16"/>
      <c r="N94" s="302"/>
      <c r="O94" s="112"/>
      <c r="P94" s="16"/>
      <c r="Q94" s="28"/>
    </row>
    <row r="95" spans="1:17" ht="15" customHeight="1">
      <c r="A95" s="28"/>
      <c r="B95" s="113"/>
      <c r="C95" s="68" t="s">
        <v>223</v>
      </c>
      <c r="D95" s="268" t="s">
        <v>19</v>
      </c>
      <c r="E95" s="99"/>
      <c r="F95" s="262">
        <v>1064</v>
      </c>
      <c r="G95" s="96" t="str">
        <f t="shared" si="0"/>
        <v xml:space="preserve"> </v>
      </c>
      <c r="H95" s="38" t="s">
        <v>141</v>
      </c>
      <c r="I95" s="61" t="str">
        <f t="shared" si="1"/>
        <v>Please enter a value</v>
      </c>
      <c r="J95" s="16"/>
      <c r="K95" s="47"/>
      <c r="L95" s="300"/>
      <c r="M95" s="16"/>
      <c r="N95" s="302"/>
      <c r="O95" s="112"/>
      <c r="P95" s="16"/>
      <c r="Q95" s="28"/>
    </row>
    <row r="96" spans="1:17" ht="15" customHeight="1">
      <c r="A96" s="28"/>
      <c r="B96" s="113"/>
      <c r="C96" s="68" t="s">
        <v>224</v>
      </c>
      <c r="D96" s="268" t="s">
        <v>14</v>
      </c>
      <c r="E96" s="100"/>
      <c r="F96" s="262">
        <v>1065</v>
      </c>
      <c r="G96" s="96" t="str">
        <f t="shared" si="0"/>
        <v xml:space="preserve"> </v>
      </c>
      <c r="H96" s="38" t="s">
        <v>142</v>
      </c>
      <c r="I96" s="61" t="str">
        <f t="shared" si="1"/>
        <v>Please enter a value</v>
      </c>
      <c r="J96" s="16"/>
      <c r="K96" s="47"/>
      <c r="L96" s="300"/>
      <c r="M96" s="16"/>
      <c r="N96" s="302"/>
      <c r="O96" s="112"/>
      <c r="P96" s="16"/>
      <c r="Q96" s="28"/>
    </row>
    <row r="97" spans="1:17" ht="15" customHeight="1">
      <c r="A97" s="28"/>
      <c r="B97" s="113"/>
      <c r="C97" s="68" t="s">
        <v>225</v>
      </c>
      <c r="D97" s="268" t="s">
        <v>11</v>
      </c>
      <c r="E97" s="101"/>
      <c r="F97" s="262">
        <v>1066</v>
      </c>
      <c r="G97" s="96" t="str">
        <f t="shared" si="0"/>
        <v xml:space="preserve"> </v>
      </c>
      <c r="H97" s="38" t="s">
        <v>143</v>
      </c>
      <c r="I97" s="61" t="str">
        <f t="shared" si="1"/>
        <v>Please enter a value</v>
      </c>
      <c r="J97" s="16"/>
      <c r="K97" s="47"/>
      <c r="L97" s="300"/>
      <c r="M97" s="16"/>
      <c r="N97" s="302"/>
      <c r="O97" s="112"/>
      <c r="P97" s="16"/>
      <c r="Q97" s="28"/>
    </row>
    <row r="98" spans="1:17" ht="15" customHeight="1">
      <c r="A98" s="28"/>
      <c r="B98" s="113"/>
      <c r="C98" s="68" t="s">
        <v>226</v>
      </c>
      <c r="D98" s="268" t="s">
        <v>12</v>
      </c>
      <c r="E98" s="102"/>
      <c r="F98" s="262">
        <v>1067</v>
      </c>
      <c r="G98" s="96" t="str">
        <f t="shared" si="0"/>
        <v xml:space="preserve"> </v>
      </c>
      <c r="H98" s="38" t="s">
        <v>144</v>
      </c>
      <c r="I98" s="61" t="str">
        <f t="shared" si="1"/>
        <v>Please enter a value</v>
      </c>
      <c r="J98" s="16"/>
      <c r="K98" s="47"/>
      <c r="L98" s="300"/>
      <c r="M98" s="16"/>
      <c r="N98" s="302"/>
      <c r="O98" s="112"/>
      <c r="P98" s="16"/>
      <c r="Q98" s="28"/>
    </row>
    <row r="99" spans="1:17" ht="15" customHeight="1">
      <c r="A99" s="28"/>
      <c r="B99" s="113"/>
      <c r="C99" s="68" t="s">
        <v>227</v>
      </c>
      <c r="D99" s="268" t="s">
        <v>15</v>
      </c>
      <c r="E99" s="103"/>
      <c r="F99" s="262">
        <v>1068</v>
      </c>
      <c r="G99" s="96" t="str">
        <f t="shared" si="0"/>
        <v xml:space="preserve"> </v>
      </c>
      <c r="H99" s="38" t="s">
        <v>145</v>
      </c>
      <c r="I99" s="61" t="str">
        <f t="shared" si="1"/>
        <v>Please enter a value</v>
      </c>
      <c r="J99" s="16"/>
      <c r="K99" s="47"/>
      <c r="L99" s="300"/>
      <c r="M99" s="16"/>
      <c r="N99" s="302"/>
      <c r="O99" s="112"/>
      <c r="P99" s="16"/>
      <c r="Q99" s="28"/>
    </row>
    <row r="100" spans="1:17" ht="15" customHeight="1">
      <c r="A100" s="28"/>
      <c r="B100" s="113"/>
      <c r="C100" s="68" t="s">
        <v>228</v>
      </c>
      <c r="D100" s="268" t="s">
        <v>20</v>
      </c>
      <c r="E100" s="104"/>
      <c r="F100" s="262">
        <v>1069</v>
      </c>
      <c r="G100" s="96" t="str">
        <f t="shared" si="0"/>
        <v xml:space="preserve"> </v>
      </c>
      <c r="H100" s="38" t="s">
        <v>146</v>
      </c>
      <c r="I100" s="61" t="str">
        <f t="shared" si="1"/>
        <v>Please enter a value</v>
      </c>
      <c r="J100" s="16"/>
      <c r="K100" s="47"/>
      <c r="L100" s="300"/>
      <c r="M100" s="16"/>
      <c r="N100" s="302"/>
      <c r="O100" s="112"/>
      <c r="P100" s="16"/>
      <c r="Q100" s="28"/>
    </row>
    <row r="101" spans="1:17" ht="15" customHeight="1">
      <c r="A101" s="28"/>
      <c r="B101" s="113"/>
      <c r="C101" s="68" t="s">
        <v>229</v>
      </c>
      <c r="D101" s="268" t="s">
        <v>13</v>
      </c>
      <c r="E101" s="105"/>
      <c r="F101" s="262">
        <v>1070</v>
      </c>
      <c r="G101" s="96" t="str">
        <f t="shared" si="0"/>
        <v xml:space="preserve"> </v>
      </c>
      <c r="H101" s="38" t="s">
        <v>147</v>
      </c>
      <c r="I101" s="61" t="str">
        <f t="shared" si="1"/>
        <v>Please enter a value</v>
      </c>
      <c r="J101" s="16"/>
      <c r="K101" s="47"/>
      <c r="L101" s="300"/>
      <c r="M101" s="16"/>
      <c r="N101" s="302"/>
      <c r="O101" s="112"/>
      <c r="P101" s="16"/>
      <c r="Q101" s="28"/>
    </row>
    <row r="102" spans="1:17" ht="15" customHeight="1">
      <c r="A102" s="28"/>
      <c r="B102" s="113"/>
      <c r="C102" s="68" t="s">
        <v>230</v>
      </c>
      <c r="D102" s="268" t="s">
        <v>43</v>
      </c>
      <c r="E102" s="106"/>
      <c r="F102" s="262">
        <v>1071</v>
      </c>
      <c r="G102" s="96" t="str">
        <f t="shared" si="0"/>
        <v xml:space="preserve"> </v>
      </c>
      <c r="H102" s="38" t="s">
        <v>148</v>
      </c>
      <c r="I102" s="61" t="str">
        <f t="shared" si="1"/>
        <v>Please enter a value</v>
      </c>
      <c r="J102" s="16"/>
      <c r="K102" s="47"/>
      <c r="L102" s="300"/>
      <c r="M102" s="16"/>
      <c r="N102" s="302"/>
      <c r="O102" s="112"/>
      <c r="P102" s="16"/>
      <c r="Q102" s="28"/>
    </row>
    <row r="103" spans="1:17" ht="15" customHeight="1">
      <c r="A103" s="28"/>
      <c r="B103" s="113"/>
      <c r="C103" s="68" t="s">
        <v>231</v>
      </c>
      <c r="D103" s="268" t="s">
        <v>10</v>
      </c>
      <c r="E103" s="107"/>
      <c r="F103" s="262">
        <v>1072</v>
      </c>
      <c r="G103" s="96" t="str">
        <f t="shared" si="0"/>
        <v xml:space="preserve"> </v>
      </c>
      <c r="H103" s="38" t="s">
        <v>149</v>
      </c>
      <c r="I103" s="61" t="str">
        <f t="shared" si="1"/>
        <v>Please enter a value</v>
      </c>
      <c r="J103" s="16"/>
      <c r="K103" s="47"/>
      <c r="L103" s="300"/>
      <c r="M103" s="16"/>
      <c r="N103" s="302"/>
      <c r="O103" s="112"/>
      <c r="P103" s="16"/>
      <c r="Q103" s="28"/>
    </row>
    <row r="104" spans="1:17" ht="15" customHeight="1">
      <c r="A104" s="28"/>
      <c r="B104" s="113"/>
      <c r="C104" s="319" t="s">
        <v>311</v>
      </c>
      <c r="D104" s="320"/>
      <c r="E104" s="321"/>
      <c r="F104" s="262">
        <v>1073</v>
      </c>
      <c r="G104" s="265" t="str">
        <f>IF(COUNTIF(G92:G103,"= ")+COUNTIF(I92:I103,"&lt;&gt; ")=0,SUM(G92:G103)," ")</f>
        <v xml:space="preserve"> </v>
      </c>
      <c r="H104" s="38" t="s">
        <v>310</v>
      </c>
      <c r="I104" s="16"/>
      <c r="J104" s="16"/>
      <c r="K104" s="16"/>
      <c r="L104" s="16"/>
      <c r="M104" s="16"/>
      <c r="N104" s="16"/>
      <c r="O104" s="112"/>
      <c r="P104" s="16"/>
      <c r="Q104" s="28"/>
    </row>
    <row r="105" spans="1:17" ht="20.100000000000001" customHeight="1">
      <c r="A105" s="28"/>
      <c r="B105" s="119"/>
      <c r="C105" s="33"/>
      <c r="D105" s="33"/>
      <c r="E105" s="23"/>
      <c r="F105" s="45"/>
      <c r="G105" s="24"/>
      <c r="H105" s="32"/>
      <c r="I105" s="24"/>
      <c r="J105" s="16"/>
      <c r="K105" s="15"/>
      <c r="L105" s="24"/>
      <c r="M105" s="16"/>
      <c r="N105" s="24"/>
      <c r="O105" s="112"/>
      <c r="P105" s="16"/>
      <c r="Q105" s="28"/>
    </row>
    <row r="106" spans="1:17" ht="20.100000000000001" customHeight="1">
      <c r="A106" s="28"/>
      <c r="B106" s="119"/>
      <c r="C106" s="33"/>
      <c r="D106" s="33"/>
      <c r="E106" s="23"/>
      <c r="F106" s="45"/>
      <c r="G106" s="24"/>
      <c r="H106" s="32"/>
      <c r="I106" s="24"/>
      <c r="J106" s="16"/>
      <c r="K106" s="15"/>
      <c r="L106" s="24"/>
      <c r="M106" s="16"/>
      <c r="N106" s="24"/>
      <c r="O106" s="112"/>
      <c r="P106" s="16"/>
      <c r="Q106" s="28"/>
    </row>
    <row r="107" spans="1:17" ht="15" customHeight="1">
      <c r="A107" s="28"/>
      <c r="B107" s="111"/>
      <c r="C107" s="85" t="s">
        <v>422</v>
      </c>
      <c r="D107" s="93"/>
      <c r="E107" s="94"/>
      <c r="F107" s="83" t="s">
        <v>248</v>
      </c>
      <c r="G107" s="40" t="str">
        <f>G$22</f>
        <v>Amount</v>
      </c>
      <c r="H107" s="38"/>
      <c r="I107" s="44" t="str">
        <f>I$22</f>
        <v>Checks</v>
      </c>
      <c r="J107" s="16"/>
      <c r="K107" s="44" t="str">
        <f>K$22</f>
        <v>Remarks</v>
      </c>
      <c r="L107" s="44" t="str">
        <f>L$22</f>
        <v>Comments</v>
      </c>
      <c r="M107" s="16"/>
      <c r="N107" s="44" t="str">
        <f>N$22</f>
        <v>Supervisor Comments</v>
      </c>
      <c r="O107" s="112"/>
      <c r="P107" s="16"/>
      <c r="Q107" s="28"/>
    </row>
    <row r="108" spans="1:17" ht="15" customHeight="1">
      <c r="A108" s="28"/>
      <c r="B108" s="120"/>
      <c r="C108" s="269" t="s">
        <v>302</v>
      </c>
      <c r="D108" s="292"/>
      <c r="E108" s="82"/>
      <c r="F108" s="262">
        <v>1074</v>
      </c>
      <c r="G108" s="54"/>
      <c r="H108" s="38" t="s">
        <v>312</v>
      </c>
      <c r="I108" s="61" t="str">
        <f>IF(ISTEXT(G108),"No text please",IF(G108&lt;0,"No negatives please",IF(ISBLANK(G108),"Please enter a value",IF(AND(G108=0,ISERROR(FIND("zero",K108))),"Please confirm zero",IF(AND(G108&lt;&gt;0,K108="Confirmed zero"),"Value not zero"," ")))))</f>
        <v>Please enter a value</v>
      </c>
      <c r="J108" s="16"/>
      <c r="K108" s="47"/>
      <c r="L108" s="300"/>
      <c r="M108" s="16"/>
      <c r="N108" s="302"/>
      <c r="O108" s="112"/>
      <c r="P108" s="16"/>
      <c r="Q108" s="28"/>
    </row>
    <row r="109" spans="1:17" ht="30" customHeight="1">
      <c r="A109" s="28"/>
      <c r="B109" s="119"/>
      <c r="C109" s="33"/>
      <c r="D109" s="33"/>
      <c r="E109" s="23"/>
      <c r="F109" s="45"/>
      <c r="G109" s="24"/>
      <c r="H109" s="32"/>
      <c r="I109" s="24"/>
      <c r="J109" s="16"/>
      <c r="K109" s="15"/>
      <c r="L109" s="24"/>
      <c r="M109" s="16"/>
      <c r="N109" s="24"/>
      <c r="O109" s="112"/>
      <c r="P109" s="16"/>
      <c r="Q109" s="28"/>
    </row>
    <row r="110" spans="1:17" ht="15" customHeight="1">
      <c r="A110" s="28"/>
      <c r="B110" s="111"/>
      <c r="C110" s="65" t="s">
        <v>423</v>
      </c>
      <c r="D110" s="66"/>
      <c r="E110" s="67"/>
      <c r="F110" s="83" t="s">
        <v>248</v>
      </c>
      <c r="G110" s="40" t="str">
        <f>G$22</f>
        <v>Amount</v>
      </c>
      <c r="H110" s="38"/>
      <c r="I110" s="44" t="str">
        <f>I$22</f>
        <v>Checks</v>
      </c>
      <c r="J110" s="16"/>
      <c r="K110" s="44" t="str">
        <f>K$22</f>
        <v>Remarks</v>
      </c>
      <c r="L110" s="44" t="str">
        <f>L$22</f>
        <v>Comments</v>
      </c>
      <c r="M110" s="16"/>
      <c r="N110" s="44" t="str">
        <f>N$22</f>
        <v>Supervisor Comments</v>
      </c>
      <c r="O110" s="112"/>
      <c r="P110" s="16"/>
      <c r="Q110" s="28"/>
    </row>
    <row r="111" spans="1:17" ht="15" customHeight="1">
      <c r="A111" s="28"/>
      <c r="B111" s="113"/>
      <c r="C111" s="68" t="s">
        <v>156</v>
      </c>
      <c r="D111" s="69"/>
      <c r="E111" s="70"/>
      <c r="F111" s="58">
        <v>1075</v>
      </c>
      <c r="G111" s="54"/>
      <c r="H111" s="38" t="s">
        <v>158</v>
      </c>
      <c r="I111" s="61" t="str">
        <f>IF(ISTEXT(G111),"No text please",IF(G111&lt;0,"No negatives please",IF(ISBLANK(G111),"Please enter a value",IF(AND(G111=0,ISERROR(FIND("zero",K111))),"Please confirm zero",IF(AND(G111&lt;&gt;0,K111="Confirmed zero"),"Value not zero"," ")))))</f>
        <v>Please enter a value</v>
      </c>
      <c r="J111" s="16"/>
      <c r="K111" s="47"/>
      <c r="L111" s="300"/>
      <c r="M111" s="16"/>
      <c r="N111" s="302"/>
      <c r="O111" s="112"/>
      <c r="P111" s="16"/>
      <c r="Q111" s="28"/>
    </row>
    <row r="112" spans="1:17" ht="15" customHeight="1">
      <c r="A112" s="28"/>
      <c r="B112" s="113"/>
      <c r="C112" s="141" t="s">
        <v>157</v>
      </c>
      <c r="D112" s="142"/>
      <c r="E112" s="70"/>
      <c r="F112" s="262">
        <v>1076</v>
      </c>
      <c r="G112" s="54"/>
      <c r="H112" s="38" t="s">
        <v>159</v>
      </c>
      <c r="I112" s="61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16"/>
      <c r="K112" s="47"/>
      <c r="L112" s="300"/>
      <c r="M112" s="16"/>
      <c r="N112" s="302"/>
      <c r="O112" s="112"/>
      <c r="P112" s="16"/>
      <c r="Q112" s="28"/>
    </row>
    <row r="113" spans="1:17" ht="15" customHeight="1">
      <c r="A113" s="28"/>
      <c r="B113" s="113"/>
      <c r="C113" s="269" t="s">
        <v>314</v>
      </c>
      <c r="D113" s="270"/>
      <c r="E113" s="82"/>
      <c r="F113" s="262">
        <v>1077</v>
      </c>
      <c r="G113" s="59" t="str">
        <f>IF(COUNTIF(I111:I112,"&lt;&gt; ")=0,SUM(G111:G112),"")</f>
        <v/>
      </c>
      <c r="H113" s="38" t="s">
        <v>313</v>
      </c>
      <c r="I113" s="16"/>
      <c r="J113" s="16"/>
      <c r="K113" s="16"/>
      <c r="L113" s="16"/>
      <c r="M113" s="16"/>
      <c r="N113" s="16"/>
      <c r="O113" s="112"/>
      <c r="P113" s="16"/>
      <c r="Q113" s="28"/>
    </row>
    <row r="114" spans="1:17" ht="20.100000000000001" customHeight="1">
      <c r="A114" s="28"/>
      <c r="B114" s="231"/>
      <c r="C114" s="232"/>
      <c r="D114" s="232"/>
      <c r="E114" s="148"/>
      <c r="F114" s="233"/>
      <c r="G114" s="148"/>
      <c r="H114" s="234"/>
      <c r="I114" s="148"/>
      <c r="J114" s="148"/>
      <c r="K114" s="148"/>
      <c r="L114" s="148"/>
      <c r="M114" s="148"/>
      <c r="N114" s="148"/>
      <c r="O114" s="235"/>
      <c r="P114" s="16"/>
      <c r="Q114" s="28"/>
    </row>
    <row r="115" spans="1:17" ht="20.100000000000001" customHeight="1">
      <c r="A115" s="28"/>
      <c r="B115" s="75" t="s">
        <v>160</v>
      </c>
      <c r="C115" s="76"/>
      <c r="D115" s="76"/>
      <c r="E115" s="76"/>
      <c r="F115" s="76"/>
      <c r="G115" s="76"/>
      <c r="H115" s="108"/>
      <c r="I115" s="76"/>
      <c r="J115" s="76"/>
      <c r="K115" s="76"/>
      <c r="L115" s="76"/>
      <c r="M115" s="76"/>
      <c r="N115" s="76"/>
      <c r="O115" s="77"/>
      <c r="P115" s="16"/>
      <c r="Q115" s="28"/>
    </row>
    <row r="116" spans="1:17" ht="20.100000000000001" customHeight="1">
      <c r="A116" s="28"/>
      <c r="B116" s="247"/>
      <c r="C116" s="248"/>
      <c r="D116" s="248"/>
      <c r="E116" s="249"/>
      <c r="F116" s="250"/>
      <c r="G116" s="251"/>
      <c r="H116" s="252"/>
      <c r="I116" s="251"/>
      <c r="J116" s="238"/>
      <c r="K116" s="253"/>
      <c r="L116" s="251"/>
      <c r="M116" s="238"/>
      <c r="N116" s="251"/>
      <c r="O116" s="241"/>
      <c r="P116" s="16"/>
      <c r="Q116" s="28"/>
    </row>
    <row r="117" spans="1:17" ht="15" customHeight="1">
      <c r="A117" s="28"/>
      <c r="B117" s="111"/>
      <c r="C117" s="65" t="s">
        <v>424</v>
      </c>
      <c r="D117" s="66"/>
      <c r="E117" s="78"/>
      <c r="F117" s="83" t="s">
        <v>248</v>
      </c>
      <c r="G117" s="40" t="str">
        <f>G$22</f>
        <v>Amount</v>
      </c>
      <c r="H117" s="38"/>
      <c r="I117" s="44" t="str">
        <f>I$22</f>
        <v>Checks</v>
      </c>
      <c r="J117" s="16"/>
      <c r="K117" s="44" t="str">
        <f>K$22</f>
        <v>Remarks</v>
      </c>
      <c r="L117" s="44" t="str">
        <f>L$22</f>
        <v>Comments</v>
      </c>
      <c r="M117" s="16"/>
      <c r="N117" s="44" t="str">
        <f>N$22</f>
        <v>Supervisor Comments</v>
      </c>
      <c r="O117" s="112"/>
      <c r="P117" s="16"/>
      <c r="Q117" s="28"/>
    </row>
    <row r="118" spans="1:17" ht="15" customHeight="1">
      <c r="A118" s="28"/>
      <c r="B118" s="121"/>
      <c r="C118" s="68" t="s">
        <v>161</v>
      </c>
      <c r="D118" s="69"/>
      <c r="E118" s="70"/>
      <c r="F118" s="262">
        <v>1078</v>
      </c>
      <c r="G118" s="54"/>
      <c r="H118" s="38" t="s">
        <v>163</v>
      </c>
      <c r="I118" s="61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16"/>
      <c r="K118" s="47"/>
      <c r="L118" s="300"/>
      <c r="M118" s="16"/>
      <c r="N118" s="302"/>
      <c r="O118" s="112"/>
      <c r="P118" s="16"/>
      <c r="Q118" s="28"/>
    </row>
    <row r="119" spans="1:17" ht="15" customHeight="1">
      <c r="A119" s="28"/>
      <c r="B119" s="121"/>
      <c r="C119" s="141" t="s">
        <v>162</v>
      </c>
      <c r="D119" s="142"/>
      <c r="E119" s="70"/>
      <c r="F119" s="262">
        <v>1079</v>
      </c>
      <c r="G119" s="54"/>
      <c r="H119" s="38" t="s">
        <v>164</v>
      </c>
      <c r="I119" s="61" t="str">
        <f>IF(ISTEXT(G119),"No text please",IF(G119&lt;0,"No negatives please",IF(ISBLANK(G119),"Please enter a value",IF(AND(G119=0,ISERROR(FIND("zero",K119))),"Please confirm zero",IF(AND(G119&lt;&gt;0,K119="Confirmed zero"),"Value not zero"," ")))))</f>
        <v>Please enter a value</v>
      </c>
      <c r="J119" s="16"/>
      <c r="K119" s="47"/>
      <c r="L119" s="300"/>
      <c r="M119" s="16"/>
      <c r="N119" s="302"/>
      <c r="O119" s="112"/>
      <c r="P119" s="16"/>
      <c r="Q119" s="28"/>
    </row>
    <row r="120" spans="1:17" ht="15" customHeight="1">
      <c r="A120" s="28"/>
      <c r="B120" s="121"/>
      <c r="C120" s="269" t="s">
        <v>205</v>
      </c>
      <c r="D120" s="270"/>
      <c r="E120" s="82"/>
      <c r="F120" s="262">
        <v>1080</v>
      </c>
      <c r="G120" s="59" t="str">
        <f>IF(COUNTIF(I118:I119,"&lt;&gt; ")=0,SUM(G118:G119),"")</f>
        <v/>
      </c>
      <c r="H120" s="38" t="s">
        <v>165</v>
      </c>
      <c r="I120" s="16"/>
      <c r="J120" s="16"/>
      <c r="K120" s="16"/>
      <c r="L120" s="16"/>
      <c r="M120" s="16"/>
      <c r="N120" s="16"/>
      <c r="O120" s="112"/>
      <c r="P120" s="16"/>
      <c r="Q120" s="28"/>
    </row>
    <row r="121" spans="1:17" ht="30" customHeight="1">
      <c r="A121" s="28"/>
      <c r="B121" s="119"/>
      <c r="C121" s="33"/>
      <c r="D121" s="33"/>
      <c r="E121" s="23"/>
      <c r="F121" s="45"/>
      <c r="G121" s="24"/>
      <c r="H121" s="32"/>
      <c r="I121" s="24"/>
      <c r="J121" s="16"/>
      <c r="K121" s="15"/>
      <c r="L121" s="24"/>
      <c r="M121" s="16"/>
      <c r="N121" s="24"/>
      <c r="O121" s="112"/>
      <c r="P121" s="16"/>
      <c r="Q121" s="28"/>
    </row>
    <row r="122" spans="1:17" ht="15" customHeight="1">
      <c r="A122" s="28"/>
      <c r="B122" s="111"/>
      <c r="C122" s="65" t="s">
        <v>425</v>
      </c>
      <c r="D122" s="66"/>
      <c r="E122" s="78"/>
      <c r="F122" s="83" t="s">
        <v>248</v>
      </c>
      <c r="G122" s="40" t="str">
        <f>G$22</f>
        <v>Amount</v>
      </c>
      <c r="H122" s="38"/>
      <c r="I122" s="44" t="str">
        <f>I$22</f>
        <v>Checks</v>
      </c>
      <c r="J122" s="16"/>
      <c r="K122" s="44" t="str">
        <f>K$22</f>
        <v>Remarks</v>
      </c>
      <c r="L122" s="44" t="str">
        <f>L$22</f>
        <v>Comments</v>
      </c>
      <c r="M122" s="16"/>
      <c r="N122" s="44" t="str">
        <f>N$22</f>
        <v>Supervisor Comments</v>
      </c>
      <c r="O122" s="112"/>
      <c r="P122" s="16"/>
      <c r="Q122" s="28"/>
    </row>
    <row r="123" spans="1:17" ht="15" customHeight="1">
      <c r="A123" s="28"/>
      <c r="B123" s="113"/>
      <c r="C123" s="68" t="s">
        <v>166</v>
      </c>
      <c r="D123" s="69"/>
      <c r="E123" s="70"/>
      <c r="F123" s="262">
        <v>1081</v>
      </c>
      <c r="G123" s="199"/>
      <c r="H123" s="38" t="s">
        <v>170</v>
      </c>
      <c r="I123" s="61" t="str">
        <f>IF(ISTEXT(G123),"No text please",IF(G123&lt;0,"No negatives please",IF(ISBLANK(G123),"Please enter a value",IF(AND(G123=0,ISERROR(FIND("zero",K123))),"Please confirm zero",IF(AND(G123&lt;&gt;0,K123="Confirmed zero"),"Value not zero",IF(SUM($G$123:$G$124)&lt;SUM($G$125:$G$126),"10.a. + 10.b. &lt; 10.c. + 10.d.",IF(SUM($G$123:$G$124)&lt;$G$125+$G$126/0.85,"Value underreported?"," ")))))))</f>
        <v>Please enter a value</v>
      </c>
      <c r="J123" s="16"/>
      <c r="K123" s="47"/>
      <c r="L123" s="300"/>
      <c r="M123" s="16"/>
      <c r="N123" s="302"/>
      <c r="O123" s="112"/>
      <c r="P123" s="16"/>
      <c r="Q123" s="28"/>
    </row>
    <row r="124" spans="1:17" ht="15" customHeight="1">
      <c r="A124" s="28"/>
      <c r="B124" s="113"/>
      <c r="C124" s="68" t="s">
        <v>167</v>
      </c>
      <c r="D124" s="69"/>
      <c r="E124" s="70"/>
      <c r="F124" s="262">
        <v>1082</v>
      </c>
      <c r="G124" s="54"/>
      <c r="H124" s="38" t="s">
        <v>202</v>
      </c>
      <c r="I124" s="61" t="str">
        <f>IF(ISTEXT(G124),"No text please",IF(G124&lt;0,"No negatives please",IF(ISBLANK(G124),"Please enter a value",IF(AND(G124=0,ISERROR(FIND("zero",K124))),"Please confirm zero",IF(AND(G124&lt;&gt;0,K124="Confirmed zero"),"Value not zero",IF(SUM($G$123:$G$124)&lt;SUM($G$125:$G$126),"10.a. + 10.b. &lt; 10.c. + 10.d.",IF(SUM($G$123:$G$124)&lt;$G$125+$G$126/0.85,"Value underreported?"," ")))))))</f>
        <v>Please enter a value</v>
      </c>
      <c r="J124" s="16"/>
      <c r="K124" s="47"/>
      <c r="L124" s="300"/>
      <c r="M124" s="16"/>
      <c r="N124" s="302"/>
      <c r="O124" s="112"/>
      <c r="P124" s="16"/>
      <c r="Q124" s="28"/>
    </row>
    <row r="125" spans="1:17" ht="15" customHeight="1">
      <c r="A125" s="28"/>
      <c r="B125" s="113"/>
      <c r="C125" s="68" t="s">
        <v>168</v>
      </c>
      <c r="D125" s="69"/>
      <c r="E125" s="70"/>
      <c r="F125" s="262">
        <v>1083</v>
      </c>
      <c r="G125" s="54"/>
      <c r="H125" s="38" t="s">
        <v>171</v>
      </c>
      <c r="I125" s="61" t="str">
        <f>IF(ISTEXT(G125),"No text please",IF(G125&lt;0,"No negatives please",IF(ISBLANK(G125),"Please enter a value",IF(AND(G125=0,ISERROR(FIND("zero",K125))),"Please confirm zero",IF(AND(G125&lt;&gt;0,K125="Confirmed zero"),"Value not zero",IF(SUM($G$123:$G$124)&lt;SUM($G$125:$G$126),"10.a. + 10.b. &lt; 10.c. + 10.d."," "))))))</f>
        <v>Please enter a value</v>
      </c>
      <c r="J125" s="16"/>
      <c r="K125" s="47"/>
      <c r="L125" s="300"/>
      <c r="M125" s="16"/>
      <c r="N125" s="302"/>
      <c r="O125" s="112"/>
      <c r="P125" s="28"/>
      <c r="Q125" s="28"/>
    </row>
    <row r="126" spans="1:17" ht="15" customHeight="1">
      <c r="A126" s="28"/>
      <c r="B126" s="113"/>
      <c r="C126" s="141" t="s">
        <v>247</v>
      </c>
      <c r="D126" s="142"/>
      <c r="E126" s="70"/>
      <c r="F126" s="262">
        <v>1084</v>
      </c>
      <c r="G126" s="199"/>
      <c r="H126" s="38" t="s">
        <v>172</v>
      </c>
      <c r="I126" s="61" t="str">
        <f>IF(ISTEXT(G126),"No text please",IF(G126&lt;0,"No negatives please",IF(ISBLANK(G126),"Please enter a value",IF(AND(G126=0,ISERROR(FIND("zero",K126))),"Please confirm zero",IF(AND(G126&lt;&gt;0,K126="Confirmed zero"),"Value not zero",IF(SUM($G$123:$G$124)&lt;SUM($G$125:$G$126),"10.a. + 10.b. &lt; 10.c. + 10.d.",IF(SUM($G$123:$G$124)&lt;$G$125+$G$126/0.85,"Haircuts not applied?"," ")))))))</f>
        <v>Please enter a value</v>
      </c>
      <c r="J126" s="16"/>
      <c r="K126" s="47"/>
      <c r="L126" s="300"/>
      <c r="M126" s="16"/>
      <c r="N126" s="302"/>
      <c r="O126" s="112"/>
      <c r="P126" s="28"/>
      <c r="Q126" s="28"/>
    </row>
    <row r="127" spans="1:17" ht="15" customHeight="1">
      <c r="A127" s="28"/>
      <c r="B127" s="113"/>
      <c r="C127" s="269" t="s">
        <v>315</v>
      </c>
      <c r="D127" s="270"/>
      <c r="E127" s="82"/>
      <c r="F127" s="262">
        <v>1085</v>
      </c>
      <c r="G127" s="59" t="str">
        <f>IF(COUNTIF(I123:I126,"&lt;&gt; ")=0,MAX(SUM(G123:G124)-SUM(G125:G126),0),"")</f>
        <v/>
      </c>
      <c r="H127" s="38" t="s">
        <v>316</v>
      </c>
      <c r="I127" s="16"/>
      <c r="J127" s="16"/>
      <c r="K127" s="16"/>
      <c r="L127" s="16"/>
      <c r="M127" s="16"/>
      <c r="N127" s="16"/>
      <c r="O127" s="112"/>
      <c r="P127" s="28"/>
      <c r="Q127" s="28"/>
    </row>
    <row r="128" spans="1:17" ht="30" customHeight="1">
      <c r="A128" s="28"/>
      <c r="B128" s="119"/>
      <c r="C128" s="33"/>
      <c r="D128" s="33"/>
      <c r="E128" s="23"/>
      <c r="F128" s="45"/>
      <c r="G128" s="24"/>
      <c r="H128" s="32"/>
      <c r="I128" s="24"/>
      <c r="J128" s="16"/>
      <c r="K128" s="15"/>
      <c r="L128" s="24"/>
      <c r="M128" s="16"/>
      <c r="N128" s="24"/>
      <c r="O128" s="112"/>
      <c r="P128" s="16"/>
      <c r="Q128" s="28"/>
    </row>
    <row r="129" spans="1:17" ht="15" customHeight="1">
      <c r="A129" s="28"/>
      <c r="B129" s="111"/>
      <c r="C129" s="65" t="s">
        <v>426</v>
      </c>
      <c r="D129" s="66"/>
      <c r="E129" s="67"/>
      <c r="F129" s="83" t="s">
        <v>248</v>
      </c>
      <c r="G129" s="40" t="str">
        <f>G$22</f>
        <v>Amount</v>
      </c>
      <c r="H129" s="38"/>
      <c r="I129" s="44" t="str">
        <f>I$22</f>
        <v>Checks</v>
      </c>
      <c r="J129" s="16"/>
      <c r="K129" s="44" t="str">
        <f>K$22</f>
        <v>Remarks</v>
      </c>
      <c r="L129" s="44" t="str">
        <f>L$22</f>
        <v>Comments</v>
      </c>
      <c r="M129" s="16"/>
      <c r="N129" s="44" t="str">
        <f>N$22</f>
        <v>Supervisor Comments</v>
      </c>
      <c r="O129" s="112"/>
      <c r="P129" s="16"/>
      <c r="Q129" s="28"/>
    </row>
    <row r="130" spans="1:17" ht="15" customHeight="1">
      <c r="A130" s="28"/>
      <c r="B130" s="113"/>
      <c r="C130" s="269" t="s">
        <v>444</v>
      </c>
      <c r="D130" s="292"/>
      <c r="E130" s="82"/>
      <c r="F130" s="262">
        <v>1086</v>
      </c>
      <c r="G130" s="54"/>
      <c r="H130" s="38" t="s">
        <v>173</v>
      </c>
      <c r="I130" s="61" t="str">
        <f>IF(ISTEXT(G130),"No text please",IF(G130&lt;0,"No negatives please",IF(ISBLANK(G130),"Please enter a value",IF(AND(G130=0,ISERROR(FIND("zero",K130))),"Please confirm zero",IF(AND(G130&lt;&gt;0,K130="Confirmed zero"),"Value not zero"," ")))))</f>
        <v>Please enter a value</v>
      </c>
      <c r="J130" s="16"/>
      <c r="K130" s="47"/>
      <c r="L130" s="300"/>
      <c r="M130" s="16"/>
      <c r="N130" s="302"/>
      <c r="O130" s="112"/>
      <c r="P130" s="28"/>
      <c r="Q130" s="28"/>
    </row>
    <row r="131" spans="1:17" ht="20.100000000000001" customHeight="1">
      <c r="A131" s="28"/>
      <c r="B131" s="231"/>
      <c r="C131" s="232"/>
      <c r="D131" s="232"/>
      <c r="E131" s="148"/>
      <c r="F131" s="233"/>
      <c r="G131" s="148"/>
      <c r="H131" s="234"/>
      <c r="I131" s="148"/>
      <c r="J131" s="148"/>
      <c r="K131" s="148"/>
      <c r="L131" s="148"/>
      <c r="M131" s="148"/>
      <c r="N131" s="148"/>
      <c r="O131" s="235"/>
      <c r="P131" s="16"/>
      <c r="Q131" s="28"/>
    </row>
    <row r="132" spans="1:17" ht="20.100000000000001" customHeight="1">
      <c r="A132" s="28"/>
      <c r="B132" s="75" t="s">
        <v>174</v>
      </c>
      <c r="C132" s="76"/>
      <c r="D132" s="76"/>
      <c r="E132" s="76"/>
      <c r="F132" s="76"/>
      <c r="G132" s="76"/>
      <c r="H132" s="108"/>
      <c r="I132" s="76"/>
      <c r="J132" s="76"/>
      <c r="K132" s="76"/>
      <c r="L132" s="76"/>
      <c r="M132" s="76"/>
      <c r="N132" s="76"/>
      <c r="O132" s="77"/>
      <c r="P132" s="28"/>
      <c r="Q132" s="28"/>
    </row>
    <row r="133" spans="1:17" ht="20.100000000000001" customHeight="1">
      <c r="A133" s="28"/>
      <c r="B133" s="247"/>
      <c r="C133" s="248"/>
      <c r="D133" s="248"/>
      <c r="E133" s="249"/>
      <c r="F133" s="250"/>
      <c r="G133" s="251"/>
      <c r="H133" s="252"/>
      <c r="I133" s="251"/>
      <c r="J133" s="238"/>
      <c r="K133" s="253"/>
      <c r="L133" s="251"/>
      <c r="M133" s="238"/>
      <c r="N133" s="251"/>
      <c r="O133" s="241"/>
      <c r="P133" s="16"/>
      <c r="Q133" s="28"/>
    </row>
    <row r="134" spans="1:17" ht="15" customHeight="1">
      <c r="A134" s="28"/>
      <c r="B134" s="111"/>
      <c r="C134" s="65" t="s">
        <v>427</v>
      </c>
      <c r="D134" s="66"/>
      <c r="E134" s="67"/>
      <c r="F134" s="83" t="s">
        <v>248</v>
      </c>
      <c r="G134" s="40" t="str">
        <f>G$22</f>
        <v>Amount</v>
      </c>
      <c r="H134" s="38"/>
      <c r="I134" s="44" t="str">
        <f>I$22</f>
        <v>Checks</v>
      </c>
      <c r="J134" s="16"/>
      <c r="K134" s="44" t="str">
        <f>K$22</f>
        <v>Remarks</v>
      </c>
      <c r="L134" s="44" t="str">
        <f>L$22</f>
        <v>Comments</v>
      </c>
      <c r="M134" s="16"/>
      <c r="N134" s="44" t="str">
        <f>N$22</f>
        <v>Supervisor Comments</v>
      </c>
      <c r="O134" s="112"/>
      <c r="P134" s="16"/>
      <c r="Q134" s="28"/>
    </row>
    <row r="135" spans="1:17" ht="15" customHeight="1">
      <c r="A135" s="28"/>
      <c r="B135" s="113"/>
      <c r="C135" s="269" t="s">
        <v>445</v>
      </c>
      <c r="D135" s="292"/>
      <c r="E135" s="82"/>
      <c r="F135" s="262">
        <v>1087</v>
      </c>
      <c r="G135" s="54"/>
      <c r="H135" s="38" t="s">
        <v>321</v>
      </c>
      <c r="I135" s="61" t="str">
        <f>IF(ISTEXT(G135),"No text please",IF(G135&lt;0,"No negatives please",IF(ISBLANK(G135),"Please enter a value",IF(AND(G135=0,ISERROR(FIND("zero",K135))),"Please confirm zero",IF(AND(G135&lt;&gt;0,K135="Confirmed zero"),"Value not zero"," ")))))</f>
        <v>Please enter a value</v>
      </c>
      <c r="J135" s="16"/>
      <c r="K135" s="47"/>
      <c r="L135" s="300"/>
      <c r="M135" s="16"/>
      <c r="N135" s="302"/>
      <c r="O135" s="112"/>
      <c r="P135" s="16"/>
      <c r="Q135" s="28"/>
    </row>
    <row r="136" spans="1:17" ht="30" customHeight="1">
      <c r="A136" s="28"/>
      <c r="B136" s="119"/>
      <c r="C136" s="33"/>
      <c r="D136" s="33"/>
      <c r="E136" s="23"/>
      <c r="F136" s="45"/>
      <c r="G136" s="24"/>
      <c r="H136" s="32"/>
      <c r="I136" s="24"/>
      <c r="J136" s="16"/>
      <c r="K136" s="15"/>
      <c r="L136" s="24"/>
      <c r="M136" s="16"/>
      <c r="N136" s="24"/>
      <c r="O136" s="112"/>
      <c r="P136" s="16"/>
      <c r="Q136" s="28"/>
    </row>
    <row r="137" spans="1:17" ht="15" customHeight="1">
      <c r="A137" s="28"/>
      <c r="B137" s="111"/>
      <c r="C137" s="65" t="s">
        <v>428</v>
      </c>
      <c r="D137" s="66"/>
      <c r="E137" s="67"/>
      <c r="F137" s="92" t="s">
        <v>248</v>
      </c>
      <c r="G137" s="40" t="str">
        <f>G$22</f>
        <v>Amount</v>
      </c>
      <c r="H137" s="38"/>
      <c r="I137" s="44" t="str">
        <f>I$22</f>
        <v>Checks</v>
      </c>
      <c r="J137" s="16"/>
      <c r="K137" s="44" t="str">
        <f>K$22</f>
        <v>Remarks</v>
      </c>
      <c r="L137" s="44" t="str">
        <f>L$22</f>
        <v>Comments</v>
      </c>
      <c r="M137" s="16"/>
      <c r="N137" s="44" t="str">
        <f>N$22</f>
        <v>Supervisor Comments</v>
      </c>
      <c r="O137" s="112"/>
      <c r="P137" s="16"/>
      <c r="Q137" s="28"/>
    </row>
    <row r="138" spans="1:17" ht="15" customHeight="1">
      <c r="A138" s="28"/>
      <c r="B138" s="113"/>
      <c r="C138" s="68" t="s">
        <v>184</v>
      </c>
      <c r="D138" s="69"/>
      <c r="E138" s="70"/>
      <c r="F138" s="262">
        <v>1088</v>
      </c>
      <c r="G138" s="54"/>
      <c r="H138" s="38" t="s">
        <v>175</v>
      </c>
      <c r="I138" s="61" t="str">
        <f>IF(ISTEXT(G138),"No text please",IF(G138&lt;0,"No negatives please",IF(ISBLANK(G138),"Please enter a value",IF(AND(G138=0,ISERROR(FIND("zero",K138))),"Please confirm zero",IF(AND(G138&lt;&gt;0,K138="Confirmed zero"),"Value not zero",IF($G$138&lt;$G$139,"&lt; 13.a.(1)"," "))))))</f>
        <v>Please enter a value</v>
      </c>
      <c r="J138" s="16"/>
      <c r="K138" s="47"/>
      <c r="L138" s="300"/>
      <c r="M138" s="16"/>
      <c r="N138" s="302"/>
      <c r="O138" s="112"/>
      <c r="P138" s="28"/>
      <c r="Q138" s="28"/>
    </row>
    <row r="139" spans="1:17" ht="15" customHeight="1">
      <c r="A139" s="28"/>
      <c r="B139" s="113"/>
      <c r="C139" s="263" t="s">
        <v>201</v>
      </c>
      <c r="D139" s="72"/>
      <c r="E139" s="70"/>
      <c r="F139" s="262">
        <v>1089</v>
      </c>
      <c r="G139" s="54"/>
      <c r="H139" s="38" t="s">
        <v>177</v>
      </c>
      <c r="I139" s="61" t="str">
        <f>IF(ISTEXT(G139),"No text please",IF(G139&lt;0,"No negatives please",IF(ISBLANK(G139),"Please enter a value",IF(AND(G139=0,ISERROR(FIND("zero",K139))),"Please confirm zero",IF(AND(G139&lt;&gt;0,K139="Confirmed zero"),"Value not zero",IF($G$138&lt;$G$139,"&gt; 13.a."," "))))))</f>
        <v>Please enter a value</v>
      </c>
      <c r="J139" s="16"/>
      <c r="K139" s="47"/>
      <c r="L139" s="300"/>
      <c r="M139" s="16"/>
      <c r="N139" s="302"/>
      <c r="O139" s="112"/>
      <c r="P139" s="28"/>
      <c r="Q139" s="28"/>
    </row>
    <row r="140" spans="1:17" ht="15" customHeight="1">
      <c r="A140" s="28"/>
      <c r="B140" s="113"/>
      <c r="C140" s="68" t="s">
        <v>185</v>
      </c>
      <c r="D140" s="69"/>
      <c r="E140" s="70"/>
      <c r="F140" s="58">
        <v>1090</v>
      </c>
      <c r="G140" s="54"/>
      <c r="H140" s="38" t="s">
        <v>176</v>
      </c>
      <c r="I140" s="61" t="str">
        <f>IF(ISTEXT(G140),"No text please",IF(G140&lt;0,"No negatives please",IF(ISBLANK(G140),"Please enter a value",IF(AND(G140=0,ISERROR(FIND("zero",K140))),"Please confirm zero",IF(AND(G140&lt;&gt;0,K140="Confirmed zero"),"Value not zero"," ")))))</f>
        <v>Please enter a value</v>
      </c>
      <c r="J140" s="16"/>
      <c r="K140" s="47"/>
      <c r="L140" s="300"/>
      <c r="M140" s="16"/>
      <c r="N140" s="302"/>
      <c r="O140" s="112"/>
      <c r="P140" s="28"/>
      <c r="Q140" s="28"/>
    </row>
    <row r="141" spans="1:17" ht="15" customHeight="1">
      <c r="A141" s="28"/>
      <c r="B141" s="113"/>
      <c r="C141" s="269" t="s">
        <v>317</v>
      </c>
      <c r="D141" s="270"/>
      <c r="E141" s="82"/>
      <c r="F141" s="262">
        <v>1091</v>
      </c>
      <c r="G141" s="59" t="str">
        <f>IF(COUNTIF(I138:I140,"&lt;&gt; ")=0,MAX(G138-G139,0)+G140,"")</f>
        <v/>
      </c>
      <c r="H141" s="38" t="s">
        <v>318</v>
      </c>
      <c r="I141" s="16"/>
      <c r="J141" s="16"/>
      <c r="K141" s="16"/>
      <c r="L141" s="16"/>
      <c r="M141" s="16"/>
      <c r="N141" s="16"/>
      <c r="O141" s="112"/>
      <c r="P141" s="28"/>
      <c r="Q141" s="28"/>
    </row>
    <row r="142" spans="1:17" ht="20.100000000000001" customHeight="1">
      <c r="A142" s="28"/>
      <c r="B142" s="231"/>
      <c r="C142" s="232"/>
      <c r="D142" s="232"/>
      <c r="E142" s="148"/>
      <c r="F142" s="233"/>
      <c r="G142" s="148"/>
      <c r="H142" s="234"/>
      <c r="I142" s="148"/>
      <c r="J142" s="148"/>
      <c r="K142" s="148"/>
      <c r="L142" s="148"/>
      <c r="M142" s="148"/>
      <c r="N142" s="148"/>
      <c r="O142" s="235"/>
      <c r="P142" s="16"/>
      <c r="Q142" s="28"/>
    </row>
    <row r="143" spans="1:17" ht="20.100000000000001" customHeight="1">
      <c r="A143" s="28"/>
      <c r="B143" s="75" t="s">
        <v>323</v>
      </c>
      <c r="C143" s="76"/>
      <c r="D143" s="76"/>
      <c r="E143" s="76"/>
      <c r="F143" s="76"/>
      <c r="G143" s="76"/>
      <c r="H143" s="108"/>
      <c r="I143" s="76"/>
      <c r="J143" s="76"/>
      <c r="K143" s="76"/>
      <c r="L143" s="76"/>
      <c r="M143" s="76"/>
      <c r="N143" s="76"/>
      <c r="O143" s="77"/>
      <c r="P143" s="28"/>
      <c r="Q143" s="28"/>
    </row>
    <row r="144" spans="1:17" ht="20.100000000000001" customHeight="1">
      <c r="A144" s="28"/>
      <c r="B144" s="247"/>
      <c r="C144" s="248"/>
      <c r="D144" s="248"/>
      <c r="E144" s="249"/>
      <c r="F144" s="250"/>
      <c r="G144" s="251"/>
      <c r="H144" s="252"/>
      <c r="I144" s="251"/>
      <c r="J144" s="238"/>
      <c r="K144" s="253"/>
      <c r="L144" s="251"/>
      <c r="M144" s="238"/>
      <c r="N144" s="251"/>
      <c r="O144" s="241"/>
      <c r="P144" s="16"/>
      <c r="Q144" s="28"/>
    </row>
    <row r="145" spans="1:17" ht="15" customHeight="1">
      <c r="A145" s="28"/>
      <c r="B145" s="111"/>
      <c r="C145" s="65" t="s">
        <v>429</v>
      </c>
      <c r="D145" s="66"/>
      <c r="E145" s="67"/>
      <c r="F145" s="83" t="s">
        <v>248</v>
      </c>
      <c r="G145" s="40" t="str">
        <f>G$22</f>
        <v>Amount</v>
      </c>
      <c r="H145" s="38"/>
      <c r="I145" s="44" t="str">
        <f>I$22</f>
        <v>Checks</v>
      </c>
      <c r="J145" s="16"/>
      <c r="K145" s="44" t="str">
        <f>K$22</f>
        <v>Remarks</v>
      </c>
      <c r="L145" s="44" t="str">
        <f>L$22</f>
        <v>Comments</v>
      </c>
      <c r="M145" s="16"/>
      <c r="N145" s="44" t="str">
        <f>N$22</f>
        <v>Supervisor Comments</v>
      </c>
      <c r="O145" s="112"/>
      <c r="P145" s="16"/>
      <c r="Q145" s="28"/>
    </row>
    <row r="146" spans="1:17" ht="15" customHeight="1">
      <c r="A146" s="28"/>
      <c r="B146" s="113"/>
      <c r="C146" s="68" t="s">
        <v>178</v>
      </c>
      <c r="D146" s="69"/>
      <c r="E146" s="70"/>
      <c r="F146" s="262">
        <v>1092</v>
      </c>
      <c r="G146" s="54"/>
      <c r="H146" s="38" t="s">
        <v>186</v>
      </c>
      <c r="I146" s="61" t="str">
        <f>IF(ISTEXT(G146),"No text please",IF(G146&lt;0,"No negatives please",IF(ISBLANK(G146),"Please enter a value",IF(AND(G146=0,ISERROR(FIND("zero",K146))),"Please confirm zero",IF(AND(G146&lt;&gt;0,K146="Confirmed zero"),"Value not zero",IF($G$146&lt;$G$147,"&lt; 14.b.",IF(AND($G$76&lt;&gt;"",$G$146&lt;$G$76),"&lt; 4.f."," ")))))))</f>
        <v>Please enter a value</v>
      </c>
      <c r="J146" s="16"/>
      <c r="K146" s="47"/>
      <c r="L146" s="300"/>
      <c r="M146" s="16"/>
      <c r="N146" s="302"/>
      <c r="O146" s="112"/>
      <c r="P146" s="28"/>
      <c r="Q146" s="28"/>
    </row>
    <row r="147" spans="1:17" ht="15" customHeight="1">
      <c r="A147" s="28"/>
      <c r="B147" s="113"/>
      <c r="C147" s="68" t="s">
        <v>179</v>
      </c>
      <c r="D147" s="69"/>
      <c r="E147" s="70"/>
      <c r="F147" s="262">
        <v>1093</v>
      </c>
      <c r="G147" s="54"/>
      <c r="H147" s="38" t="s">
        <v>187</v>
      </c>
      <c r="I147" s="61" t="str">
        <f>IF(ISTEXT(G147),"No text please",IF(G147&lt;0,"No negatives please",IF(ISBLANK(G147),"Please enter a value",IF(AND(G147=0,ISERROR(FIND("zero",K147))),"Please confirm zero",IF(AND(G147&lt;&gt;0,K147="Confirmed zero"),"Value not zero",IF($G$146&lt;$G$147,"&gt; 14.a."," "))))))</f>
        <v>Please enter a value</v>
      </c>
      <c r="J147" s="16"/>
      <c r="K147" s="47"/>
      <c r="L147" s="300"/>
      <c r="M147" s="16"/>
      <c r="N147" s="302"/>
      <c r="O147" s="112"/>
      <c r="P147" s="28"/>
      <c r="Q147" s="28"/>
    </row>
    <row r="148" spans="1:17" ht="15" customHeight="1">
      <c r="A148" s="28"/>
      <c r="B148" s="113"/>
      <c r="C148" s="68" t="s">
        <v>206</v>
      </c>
      <c r="D148" s="69"/>
      <c r="E148" s="70"/>
      <c r="F148" s="262">
        <v>1094</v>
      </c>
      <c r="G148" s="91" t="str">
        <f>IF(AND(COUNTIF(I146:I147,"&lt;&gt; ")=0,G146&lt;&gt;0),(G146-G147)/G146,"")</f>
        <v/>
      </c>
      <c r="H148" s="38" t="s">
        <v>188</v>
      </c>
      <c r="I148" s="48"/>
      <c r="J148" s="16"/>
      <c r="K148" s="48"/>
      <c r="L148" s="48"/>
      <c r="M148" s="16"/>
      <c r="N148" s="48"/>
      <c r="O148" s="112"/>
      <c r="P148" s="28"/>
      <c r="Q148" s="28"/>
    </row>
    <row r="149" spans="1:17" ht="15" customHeight="1">
      <c r="A149" s="28"/>
      <c r="B149" s="113"/>
      <c r="C149" s="68" t="s">
        <v>461</v>
      </c>
      <c r="D149" s="69"/>
      <c r="E149" s="70"/>
      <c r="F149" s="262">
        <v>1095</v>
      </c>
      <c r="G149" s="199"/>
      <c r="H149" s="38" t="s">
        <v>189</v>
      </c>
      <c r="I149" s="61" t="str">
        <f>IF(ISTEXT(G149),"No text please",IF(ISBLANK(G149),"Please enter a value",IF(AND(G149=0,ISERROR(FIND("zero",K149))),"Please confirm zero",IF(AND(G149&lt;&gt;0,K149="Confirmed zero"),"Value not zero"," "))))</f>
        <v>Please enter a value</v>
      </c>
      <c r="J149" s="16"/>
      <c r="K149" s="47"/>
      <c r="L149" s="300"/>
      <c r="M149" s="16"/>
      <c r="N149" s="302"/>
      <c r="O149" s="112"/>
      <c r="P149" s="28"/>
      <c r="Q149" s="28"/>
    </row>
    <row r="150" spans="1:17" ht="15" customHeight="1">
      <c r="A150" s="28"/>
      <c r="B150" s="113"/>
      <c r="C150" s="68" t="s">
        <v>180</v>
      </c>
      <c r="D150" s="69"/>
      <c r="E150" s="70"/>
      <c r="F150" s="262">
        <v>1096</v>
      </c>
      <c r="G150" s="54"/>
      <c r="H150" s="38" t="s">
        <v>190</v>
      </c>
      <c r="I150" s="61" t="str">
        <f>IF(ISTEXT(G150),"No text please",IF(ISBLANK(G150),"Please enter a value",IF(AND(G150=0,ISERROR(FIND("zero",K150))),"Please confirm zero",IF(AND(G150&lt;&gt;0,K150="Confirmed zero"),"Value not zero"," "))))</f>
        <v>Please enter a value</v>
      </c>
      <c r="J150" s="16"/>
      <c r="K150" s="47"/>
      <c r="L150" s="300"/>
      <c r="M150" s="16"/>
      <c r="N150" s="302"/>
      <c r="O150" s="112"/>
      <c r="P150" s="28"/>
      <c r="Q150" s="28"/>
    </row>
    <row r="151" spans="1:17" ht="15" customHeight="1">
      <c r="A151" s="28"/>
      <c r="B151" s="113"/>
      <c r="C151" s="68" t="s">
        <v>462</v>
      </c>
      <c r="D151" s="69"/>
      <c r="E151" s="70"/>
      <c r="F151" s="262">
        <v>1097</v>
      </c>
      <c r="G151" s="54"/>
      <c r="H151" s="38" t="s">
        <v>191</v>
      </c>
      <c r="I151" s="61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16"/>
      <c r="K151" s="47"/>
      <c r="L151" s="300"/>
      <c r="M151" s="16"/>
      <c r="N151" s="302"/>
      <c r="O151" s="112"/>
      <c r="P151" s="28"/>
      <c r="Q151" s="28"/>
    </row>
    <row r="152" spans="1:17" ht="15" customHeight="1">
      <c r="A152" s="28"/>
      <c r="B152" s="113"/>
      <c r="C152" s="68" t="s">
        <v>199</v>
      </c>
      <c r="D152" s="69"/>
      <c r="E152" s="70"/>
      <c r="F152" s="262">
        <v>1098</v>
      </c>
      <c r="G152" s="54"/>
      <c r="H152" s="38" t="s">
        <v>192</v>
      </c>
      <c r="I152" s="61" t="str">
        <f>IF(ISTEXT(G152),"No text please",IF(G152&lt;0,"No negatives please",IF(ISBLANK(G152),"Please enter a value",IF(AND(G152=0,ISERROR(FIND("zero",K152))),"Please confirm zero",IF(AND(G152&lt;&gt;0,K152="Confirmed zero"),"Value not zero"," ")))))</f>
        <v>Please enter a value</v>
      </c>
      <c r="J152" s="16"/>
      <c r="K152" s="47"/>
      <c r="L152" s="300"/>
      <c r="M152" s="16"/>
      <c r="N152" s="302"/>
      <c r="O152" s="112"/>
      <c r="P152" s="28"/>
      <c r="Q152" s="28"/>
    </row>
    <row r="153" spans="1:17" ht="15" customHeight="1">
      <c r="A153" s="28"/>
      <c r="B153" s="113"/>
      <c r="C153" s="68" t="s">
        <v>181</v>
      </c>
      <c r="D153" s="69"/>
      <c r="E153" s="70"/>
      <c r="F153" s="262">
        <v>1099</v>
      </c>
      <c r="G153" s="54"/>
      <c r="H153" s="38" t="s">
        <v>193</v>
      </c>
      <c r="I153" s="61" t="str">
        <f>IF(ISTEXT(G153),"No text please",IF(G153&lt;0,"No negatives please",IF(ISBLANK(G153),"Please enter a value",IF(AND(G153=0,ISERROR(FIND("zero",K153))),"Please confirm zero",IF(AND(G153&lt;&gt;0,K153="Confirmed zero"),"Value not zero"," ")))))</f>
        <v>Please enter a value</v>
      </c>
      <c r="J153" s="16"/>
      <c r="K153" s="47"/>
      <c r="L153" s="300"/>
      <c r="M153" s="16"/>
      <c r="N153" s="302"/>
      <c r="O153" s="112"/>
      <c r="P153" s="28"/>
      <c r="Q153" s="28"/>
    </row>
    <row r="154" spans="1:17" ht="15" customHeight="1">
      <c r="A154" s="28"/>
      <c r="B154" s="113"/>
      <c r="C154" s="68" t="s">
        <v>182</v>
      </c>
      <c r="D154" s="69"/>
      <c r="E154" s="70"/>
      <c r="F154" s="262">
        <v>1100</v>
      </c>
      <c r="G154" s="54"/>
      <c r="H154" s="38" t="s">
        <v>319</v>
      </c>
      <c r="I154" s="61" t="str">
        <f>IF(ISTEXT(G154),"No text please",IF(G154&lt;0,"No negatives please",IF(ISBLANK(G154),"Please enter a value",IF(AND(G154=0,ISERROR(FIND("zero",K154))),"Please confirm zero",IF(AND(G154&lt;&gt;0,K154="Confirmed zero"),"Value not zero"," ")))))</f>
        <v>Please enter a value</v>
      </c>
      <c r="J154" s="16"/>
      <c r="K154" s="47"/>
      <c r="L154" s="300"/>
      <c r="M154" s="16"/>
      <c r="N154" s="302"/>
      <c r="O154" s="112"/>
      <c r="P154" s="28"/>
      <c r="Q154" s="28"/>
    </row>
    <row r="155" spans="1:17" ht="15" customHeight="1">
      <c r="A155" s="28"/>
      <c r="B155" s="113"/>
      <c r="C155" s="68" t="s">
        <v>301</v>
      </c>
      <c r="D155" s="69"/>
      <c r="E155" s="70"/>
      <c r="F155" s="262">
        <v>1101</v>
      </c>
      <c r="G155" s="54"/>
      <c r="H155" s="38" t="s">
        <v>320</v>
      </c>
      <c r="I155" s="61" t="str">
        <f>IF(ISTEXT(G155),"No text please",IF(G155&lt;0,"No negatives please",IF(ISBLANK(G155),"Please enter a value",IF(AND(G155=0,ISERROR(FIND("zero",K155))),"Please confirm zero",IF(AND(G155&lt;&gt;0,K155="Confirmed zero"),"Value not zero"," ")))))</f>
        <v>Please enter a value</v>
      </c>
      <c r="J155" s="16"/>
      <c r="K155" s="47"/>
      <c r="L155" s="300"/>
      <c r="M155" s="16"/>
      <c r="N155" s="302"/>
      <c r="O155" s="112"/>
      <c r="P155" s="28"/>
      <c r="Q155" s="28"/>
    </row>
    <row r="156" spans="1:17" ht="15" customHeight="1">
      <c r="A156" s="28"/>
      <c r="B156" s="113"/>
      <c r="C156" s="29"/>
      <c r="D156" s="29"/>
      <c r="E156" s="29"/>
      <c r="F156" s="46"/>
      <c r="G156" s="40"/>
      <c r="H156" s="38"/>
      <c r="I156" s="38"/>
      <c r="J156" s="16"/>
      <c r="K156" s="38"/>
      <c r="L156" s="38"/>
      <c r="M156" s="16"/>
      <c r="N156" s="38"/>
      <c r="O156" s="122"/>
      <c r="P156" s="28"/>
      <c r="Q156" s="28"/>
    </row>
    <row r="157" spans="1:17" ht="15" customHeight="1">
      <c r="A157" s="28"/>
      <c r="B157" s="113"/>
      <c r="C157" s="29"/>
      <c r="D157" s="29"/>
      <c r="E157" s="29"/>
      <c r="F157" s="46"/>
      <c r="G157" s="40" t="s">
        <v>200</v>
      </c>
      <c r="H157" s="38"/>
      <c r="I157" s="44" t="str">
        <f>I$22</f>
        <v>Checks</v>
      </c>
      <c r="J157" s="16"/>
      <c r="K157" s="44" t="str">
        <f>K$22</f>
        <v>Remarks</v>
      </c>
      <c r="L157" s="44" t="str">
        <f>L$22</f>
        <v>Comments</v>
      </c>
      <c r="M157" s="16"/>
      <c r="N157" s="44" t="str">
        <f>N$22</f>
        <v>Supervisor Comments</v>
      </c>
      <c r="O157" s="122"/>
      <c r="P157" s="28"/>
      <c r="Q157" s="28"/>
    </row>
    <row r="158" spans="1:17" ht="15" customHeight="1">
      <c r="A158" s="28"/>
      <c r="B158" s="113"/>
      <c r="C158" s="68" t="s">
        <v>183</v>
      </c>
      <c r="D158" s="69"/>
      <c r="E158" s="90"/>
      <c r="F158" s="262">
        <v>1102</v>
      </c>
      <c r="G158" s="89"/>
      <c r="H158" s="38" t="s">
        <v>194</v>
      </c>
      <c r="I158" s="61" t="str">
        <f>IF(ISTEXT(G158),"No text please",IF(G158&lt;0,"No negatives please",IF(ISBLANK(G158),"Please enter a value",IF(G158=0,"Cannot be zero",IF(AND(G158&lt;&gt;0,K158="Confirmed zero"),"Value not zero",IF(INT(G158)=G158," ","Integers only"))))))</f>
        <v>Please enter a value</v>
      </c>
      <c r="J158" s="16"/>
      <c r="K158" s="47"/>
      <c r="L158" s="300"/>
      <c r="M158" s="16"/>
      <c r="N158" s="302"/>
      <c r="O158" s="112"/>
      <c r="P158" s="28"/>
      <c r="Q158" s="28"/>
    </row>
    <row r="159" spans="1:17" ht="30" customHeight="1">
      <c r="A159" s="28"/>
      <c r="B159" s="119"/>
      <c r="C159" s="33"/>
      <c r="D159" s="33"/>
      <c r="E159" s="23"/>
      <c r="F159" s="45"/>
      <c r="G159" s="24"/>
      <c r="H159" s="32"/>
      <c r="I159" s="24"/>
      <c r="J159" s="16"/>
      <c r="K159" s="15"/>
      <c r="L159" s="24"/>
      <c r="M159" s="16"/>
      <c r="N159" s="24"/>
      <c r="O159" s="112"/>
      <c r="P159" s="16"/>
      <c r="Q159" s="28"/>
    </row>
    <row r="160" spans="1:17" ht="15" customHeight="1">
      <c r="A160" s="28"/>
      <c r="B160" s="111"/>
      <c r="C160" s="65" t="s">
        <v>430</v>
      </c>
      <c r="D160" s="66"/>
      <c r="E160" s="78"/>
      <c r="F160" s="83" t="s">
        <v>248</v>
      </c>
      <c r="G160" s="40" t="str">
        <f>G$22</f>
        <v>Amount</v>
      </c>
      <c r="H160" s="38"/>
      <c r="I160" s="44" t="str">
        <f>I$22</f>
        <v>Checks</v>
      </c>
      <c r="J160" s="16"/>
      <c r="K160" s="44" t="str">
        <f>K$22</f>
        <v>Remarks</v>
      </c>
      <c r="L160" s="44" t="str">
        <f>L$22</f>
        <v>Comments</v>
      </c>
      <c r="M160" s="16"/>
      <c r="N160" s="44" t="str">
        <f>N$22</f>
        <v>Supervisor Comments</v>
      </c>
      <c r="O160" s="112"/>
      <c r="P160" s="16"/>
      <c r="Q160" s="28"/>
    </row>
    <row r="161" spans="1:17" ht="15" customHeight="1">
      <c r="A161" s="28"/>
      <c r="B161" s="113"/>
      <c r="C161" s="68" t="s">
        <v>446</v>
      </c>
      <c r="D161" s="69"/>
      <c r="E161" s="70"/>
      <c r="F161" s="262">
        <v>1103</v>
      </c>
      <c r="G161" s="54"/>
      <c r="H161" s="38" t="s">
        <v>241</v>
      </c>
      <c r="I161" s="61" t="str">
        <f>IF(ISTEXT(G161),"No text please",IF(G161&lt;0,"No negatives please",IF(ISBLANK(G161),"Please enter a value",IF(AND(G161=0,ISERROR(FIND("zero",K161))),"Please confirm zero",IF(AND(G161&lt;&gt;0,K161="Confirmed zero"),"Value not zero",IF($G$161&lt;$G$162,"&lt; 15.b."," "))))))</f>
        <v>Please enter a value</v>
      </c>
      <c r="J161" s="16"/>
      <c r="K161" s="47"/>
      <c r="L161" s="300"/>
      <c r="M161" s="16"/>
      <c r="N161" s="302"/>
      <c r="O161" s="112"/>
      <c r="P161" s="28"/>
      <c r="Q161" s="28"/>
    </row>
    <row r="162" spans="1:17" ht="15" customHeight="1">
      <c r="A162" s="28"/>
      <c r="B162" s="113"/>
      <c r="C162" s="68" t="s">
        <v>447</v>
      </c>
      <c r="D162" s="69"/>
      <c r="E162" s="70"/>
      <c r="F162" s="262">
        <v>1104</v>
      </c>
      <c r="G162" s="54"/>
      <c r="H162" s="38" t="s">
        <v>242</v>
      </c>
      <c r="I162" s="61" t="str">
        <f>IF(ISTEXT(G162),"No text please",IF(G162&lt;0,"No negatives please",IF(ISBLANK(G162),"Please enter a value",IF(AND(G162=0,ISERROR(FIND("zero",K162))),"Please confirm zero",IF(AND(G162&lt;&gt;0,K162="Confirmed zero"),"Value not zero",IF($G$161&lt;$G$162,"&gt; 15.a."," "))))))</f>
        <v>Please enter a value</v>
      </c>
      <c r="J162" s="16"/>
      <c r="K162" s="47"/>
      <c r="L162" s="300"/>
      <c r="M162" s="16"/>
      <c r="N162" s="302"/>
      <c r="O162" s="112"/>
      <c r="P162" s="28"/>
      <c r="Q162" s="28"/>
    </row>
    <row r="163" spans="1:17" ht="15" customHeight="1">
      <c r="A163" s="28"/>
      <c r="B163" s="113"/>
      <c r="C163" s="68" t="s">
        <v>469</v>
      </c>
      <c r="D163" s="69"/>
      <c r="E163" s="70"/>
      <c r="F163" s="262">
        <v>1105</v>
      </c>
      <c r="G163" s="54"/>
      <c r="H163" s="38" t="s">
        <v>243</v>
      </c>
      <c r="I163" s="61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16"/>
      <c r="K163" s="47"/>
      <c r="L163" s="300"/>
      <c r="M163" s="16"/>
      <c r="N163" s="302"/>
      <c r="O163" s="112"/>
      <c r="P163" s="28"/>
      <c r="Q163" s="28"/>
    </row>
    <row r="164" spans="1:17" ht="15" customHeight="1">
      <c r="A164" s="28"/>
      <c r="B164" s="113"/>
      <c r="C164" s="68" t="s">
        <v>451</v>
      </c>
      <c r="D164" s="69"/>
      <c r="E164" s="70"/>
      <c r="F164" s="262">
        <v>1106</v>
      </c>
      <c r="G164" s="299"/>
      <c r="H164" s="38" t="s">
        <v>244</v>
      </c>
      <c r="I164" s="61" t="str">
        <f>IF(ISTEXT(G164),"No text please",IF(G164&lt;0,"No negatives please",IF(ISBLANK(G164),"Please enter a value",IF(AND(G164=0,ISERROR(FIND("zero",K164))),"Please confirm zero",IF(AND(G164&lt;&gt;0,K164="Confirmed zero"),"Value not zero",IF($G$83&lt;$G$164,"&gt; 5.e"," "))))))</f>
        <v>Please enter a value</v>
      </c>
      <c r="J164" s="16"/>
      <c r="K164" s="47"/>
      <c r="L164" s="300"/>
      <c r="M164" s="16"/>
      <c r="N164" s="302"/>
      <c r="O164" s="112"/>
      <c r="P164" s="28"/>
      <c r="Q164" s="28"/>
    </row>
    <row r="165" spans="1:17" ht="15" customHeight="1">
      <c r="A165" s="28"/>
      <c r="B165" s="113"/>
      <c r="C165" s="68" t="s">
        <v>452</v>
      </c>
      <c r="D165" s="69"/>
      <c r="E165" s="70"/>
      <c r="F165" s="262">
        <v>1107</v>
      </c>
      <c r="G165" s="299"/>
      <c r="H165" s="38" t="s">
        <v>245</v>
      </c>
      <c r="I165" s="61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16"/>
      <c r="K165" s="47"/>
      <c r="L165" s="300"/>
      <c r="M165" s="16"/>
      <c r="N165" s="302"/>
      <c r="O165" s="112"/>
      <c r="P165" s="28"/>
      <c r="Q165" s="28"/>
    </row>
    <row r="166" spans="1:17" ht="15" customHeight="1">
      <c r="A166" s="28"/>
      <c r="B166" s="113"/>
      <c r="C166" s="29"/>
      <c r="D166" s="29"/>
      <c r="E166" s="29"/>
      <c r="F166" s="46"/>
      <c r="G166" s="40"/>
      <c r="H166" s="38"/>
      <c r="I166" s="38"/>
      <c r="J166" s="16"/>
      <c r="K166" s="38"/>
      <c r="L166" s="38"/>
      <c r="M166" s="16"/>
      <c r="N166" s="38"/>
      <c r="O166" s="122"/>
      <c r="P166" s="28"/>
      <c r="Q166" s="28"/>
    </row>
    <row r="167" spans="1:17" ht="15" customHeight="1">
      <c r="A167" s="28"/>
      <c r="B167" s="119"/>
      <c r="C167" s="33"/>
      <c r="D167" s="310" t="s">
        <v>233</v>
      </c>
      <c r="E167" s="310" t="str">
        <f>IF(OR($G$10="&lt;select&gt;",$G$14="&lt;select&gt;"),"Amount in specified currency","Amount in "&amp;VLOOKUP($G$14,Parameters!$E$69:$G$72,3,FALSE)&amp;"of the specified currency")</f>
        <v>Amount in specified currency</v>
      </c>
      <c r="F167" s="40"/>
      <c r="G167" s="309" t="str">
        <f>G$22</f>
        <v>Amount</v>
      </c>
      <c r="H167" s="32"/>
      <c r="I167" s="24"/>
      <c r="J167" s="16"/>
      <c r="K167" s="15"/>
      <c r="L167" s="24"/>
      <c r="M167" s="16"/>
      <c r="N167" s="24"/>
      <c r="O167" s="112"/>
      <c r="P167" s="16"/>
      <c r="Q167" s="28"/>
    </row>
    <row r="168" spans="1:17" ht="15" customHeight="1">
      <c r="A168" s="28"/>
      <c r="B168" s="119"/>
      <c r="C168" s="271" t="s">
        <v>453</v>
      </c>
      <c r="D168" s="310"/>
      <c r="E168" s="310"/>
      <c r="F168" s="64" t="s">
        <v>248</v>
      </c>
      <c r="G168" s="309"/>
      <c r="H168" s="38"/>
      <c r="I168" s="44" t="str">
        <f>I$22</f>
        <v>Checks</v>
      </c>
      <c r="J168" s="16"/>
      <c r="K168" s="44" t="str">
        <f>K$22</f>
        <v>Remarks</v>
      </c>
      <c r="L168" s="44" t="str">
        <f>L$22</f>
        <v>Comments</v>
      </c>
      <c r="M168" s="16"/>
      <c r="N168" s="44" t="str">
        <f>N$22</f>
        <v>Supervisor Comments</v>
      </c>
      <c r="O168" s="112"/>
      <c r="P168" s="16"/>
      <c r="Q168" s="28"/>
    </row>
    <row r="169" spans="1:17" ht="15" customHeight="1">
      <c r="A169" s="28"/>
      <c r="B169" s="113"/>
      <c r="C169" s="263" t="s">
        <v>234</v>
      </c>
      <c r="D169" s="268" t="s">
        <v>208</v>
      </c>
      <c r="E169" s="264"/>
      <c r="F169" s="262">
        <v>1108</v>
      </c>
      <c r="G169" s="265" t="str">
        <f>IF(AND(ISNUMBER(E169),VLOOKUP(D169,$D$238:$I$252,COLUMNS($D$238:$I$252),FALSE)=" "),E169*VLOOKUP(D169,$D$238:$E$252,2,FALSE)," ")</f>
        <v xml:space="preserve"> </v>
      </c>
      <c r="H169" s="38" t="s">
        <v>448</v>
      </c>
      <c r="I169" s="61" t="str">
        <f>IF(ISTEXT(E169),"No text please",IF(E169&lt;0,"No negatives please",IF(ISBLANK(E169),"Please enter a value",IF(AND(E169=0,ISERROR(FIND("zero",K169))),"Please confirm zero",IF(AND(E169&lt;&gt;0,K169="Confirmed zero"),"Value not zero",IF(VLOOKUP(D169,$D$229:$I$243,COLUMNS($D$229:$I$243),FALSE)&lt;&gt;" ","See item "&amp;VLOOKUP(D169,$D$229:$I$243,COLUMNS($D$229:$I$243)-1,FALSE)," "))))))</f>
        <v>Please enter a value</v>
      </c>
      <c r="J169" s="16"/>
      <c r="K169" s="47"/>
      <c r="L169" s="300"/>
      <c r="M169" s="16"/>
      <c r="N169" s="302"/>
      <c r="O169" s="112"/>
      <c r="P169" s="28"/>
      <c r="Q169" s="28"/>
    </row>
    <row r="170" spans="1:17" ht="15" customHeight="1">
      <c r="A170" s="28"/>
      <c r="B170" s="113"/>
      <c r="C170" s="263" t="s">
        <v>232</v>
      </c>
      <c r="D170" s="268" t="s">
        <v>209</v>
      </c>
      <c r="E170" s="266"/>
      <c r="F170" s="262">
        <v>1109</v>
      </c>
      <c r="G170" s="265" t="str">
        <f>IF(AND(ISNUMBER(E170),VLOOKUP(D170,$D$238:$I$252,COLUMNS($D$238:$I$252),FALSE)=" "),E170*VLOOKUP(D170,$D$238:$E$252,2,FALSE)," ")</f>
        <v xml:space="preserve"> </v>
      </c>
      <c r="H170" s="38" t="s">
        <v>449</v>
      </c>
      <c r="I170" s="61" t="str">
        <f>IF(ISTEXT(E170),"No text please",IF(E170&lt;0,"No negatives please",IF(ISBLANK(E170),"Please enter a value",IF(AND(E170=0,ISERROR(FIND("zero",K170))),"Please confirm zero",IF(AND(E170&lt;&gt;0,K170="Confirmed zero"),"Value not zero",IF(VLOOKUP(D170,$D$229:$I$243,COLUMNS($D$229:$I$243),FALSE)&lt;&gt;" ","See item "&amp;VLOOKUP(D170,$D$229:$I$243,COLUMNS($D$229:$I$243)-1,FALSE)," "))))))</f>
        <v>Please enter a value</v>
      </c>
      <c r="J170" s="16"/>
      <c r="K170" s="47"/>
      <c r="L170" s="300"/>
      <c r="M170" s="16"/>
      <c r="N170" s="302"/>
      <c r="O170" s="112"/>
      <c r="P170" s="28"/>
      <c r="Q170" s="28"/>
    </row>
    <row r="171" spans="1:17" ht="15" customHeight="1">
      <c r="A171" s="28"/>
      <c r="B171" s="113"/>
      <c r="C171" s="263" t="s">
        <v>235</v>
      </c>
      <c r="D171" s="268" t="s">
        <v>57</v>
      </c>
      <c r="E171" s="267"/>
      <c r="F171" s="262">
        <v>1110</v>
      </c>
      <c r="G171" s="265" t="str">
        <f>IF(AND(ISNUMBER(E171),VLOOKUP(D171,$D$238:$I$252,COLUMNS($D$238:$I$252),FALSE)=" "),E171*VLOOKUP(D171,$D$238:$E$252,2,FALSE)," ")</f>
        <v xml:space="preserve"> </v>
      </c>
      <c r="H171" s="38" t="s">
        <v>450</v>
      </c>
      <c r="I171" s="61" t="str">
        <f>IF(ISTEXT(E171),"No text please",IF(E171&lt;0,"No negatives please",IF(ISBLANK(E171),"Please enter a value",IF(AND(E171=0,ISERROR(FIND("zero",K171))),"Please confirm zero",IF(AND(E171&lt;&gt;0,K171="Confirmed zero"),"Value not zero",IF(VLOOKUP(D171,$D$229:$I$243,COLUMNS($D$229:$I$243),FALSE)&lt;&gt;" ","See item "&amp;VLOOKUP(D171,$D$229:$I$243,COLUMNS($D$229:$I$243)-1,FALSE)," "))))))</f>
        <v>Please enter a value</v>
      </c>
      <c r="J171" s="16"/>
      <c r="K171" s="47"/>
      <c r="L171" s="300"/>
      <c r="M171" s="16"/>
      <c r="N171" s="302"/>
      <c r="O171" s="112"/>
      <c r="P171" s="28"/>
      <c r="Q171" s="28"/>
    </row>
    <row r="172" spans="1:17" ht="20.100000000000001" customHeight="1">
      <c r="A172" s="28"/>
      <c r="B172" s="242"/>
      <c r="C172" s="146"/>
      <c r="D172" s="146"/>
      <c r="E172" s="146"/>
      <c r="F172" s="243"/>
      <c r="G172" s="146"/>
      <c r="H172" s="254"/>
      <c r="I172" s="146"/>
      <c r="J172" s="148"/>
      <c r="K172" s="148"/>
      <c r="L172" s="146"/>
      <c r="M172" s="148"/>
      <c r="N172" s="146"/>
      <c r="O172" s="235"/>
      <c r="P172" s="28"/>
      <c r="Q172" s="28"/>
    </row>
    <row r="173" spans="1:17" ht="20.100000000000001" customHeight="1">
      <c r="A173" s="28"/>
      <c r="B173" s="75" t="s">
        <v>322</v>
      </c>
      <c r="C173" s="76"/>
      <c r="D173" s="76"/>
      <c r="E173" s="76"/>
      <c r="F173" s="76"/>
      <c r="G173" s="76"/>
      <c r="H173" s="108"/>
      <c r="I173" s="76"/>
      <c r="J173" s="76"/>
      <c r="K173" s="76"/>
      <c r="L173" s="76"/>
      <c r="M173" s="76"/>
      <c r="N173" s="76"/>
      <c r="O173" s="77"/>
      <c r="P173" s="28"/>
      <c r="Q173" s="28"/>
    </row>
    <row r="174" spans="1:17" ht="20.100000000000001" customHeight="1">
      <c r="A174" s="28"/>
      <c r="B174" s="247"/>
      <c r="C174" s="248"/>
      <c r="D174" s="248"/>
      <c r="E174" s="249"/>
      <c r="F174" s="250"/>
      <c r="G174" s="251"/>
      <c r="H174" s="252"/>
      <c r="I174" s="251"/>
      <c r="J174" s="238"/>
      <c r="K174" s="253"/>
      <c r="L174" s="251"/>
      <c r="M174" s="238"/>
      <c r="N174" s="251"/>
      <c r="O174" s="241"/>
      <c r="P174" s="16"/>
      <c r="Q174" s="28"/>
    </row>
    <row r="175" spans="1:17" ht="15" customHeight="1">
      <c r="A175" s="28"/>
      <c r="B175" s="111"/>
      <c r="C175" s="65" t="s">
        <v>431</v>
      </c>
      <c r="D175" s="66"/>
      <c r="E175" s="67"/>
      <c r="F175" s="83" t="s">
        <v>248</v>
      </c>
      <c r="G175" s="40" t="str">
        <f>G$22</f>
        <v>Amount</v>
      </c>
      <c r="H175" s="38"/>
      <c r="I175" s="44" t="str">
        <f>I$22</f>
        <v>Checks</v>
      </c>
      <c r="J175" s="16"/>
      <c r="K175" s="44" t="str">
        <f>K$22</f>
        <v>Remarks</v>
      </c>
      <c r="L175" s="44" t="s">
        <v>324</v>
      </c>
      <c r="M175" s="16"/>
      <c r="N175" s="44" t="str">
        <f>N$22</f>
        <v>Supervisor Comments</v>
      </c>
      <c r="O175" s="112"/>
      <c r="P175" s="16"/>
      <c r="Q175" s="28"/>
    </row>
    <row r="176" spans="1:17" ht="15" customHeight="1">
      <c r="A176" s="28"/>
      <c r="B176" s="113"/>
      <c r="C176" s="68" t="s">
        <v>459</v>
      </c>
      <c r="D176" s="69"/>
      <c r="E176" s="70"/>
      <c r="F176" s="262">
        <v>1111</v>
      </c>
      <c r="G176" s="275"/>
      <c r="H176" s="38" t="s">
        <v>325</v>
      </c>
      <c r="I176" s="61" t="str">
        <f>IF(ISBLANK(L176),"Comment required",IF(ISTEXT(G176),"No text please",IF(ISBLANK(G176),"Please enter a value",IF(AND(G176=0,ISERROR(FIND("zero",K176))),"Please confirm zero",IF(AND(G176&lt;&gt;0,K176="Confirmed zero"),"Value not zero",IF($G$179&gt;$G$176,"&lt; 16.d."," "))))))</f>
        <v>Comment required</v>
      </c>
      <c r="J176" s="16"/>
      <c r="K176" s="47"/>
      <c r="L176" s="301"/>
      <c r="M176" s="16"/>
      <c r="N176" s="302"/>
      <c r="O176" s="112"/>
      <c r="P176" s="28"/>
      <c r="Q176" s="28"/>
    </row>
    <row r="177" spans="1:17" ht="15" customHeight="1">
      <c r="A177" s="28"/>
      <c r="B177" s="113"/>
      <c r="C177" s="68" t="s">
        <v>460</v>
      </c>
      <c r="D177" s="69"/>
      <c r="E177" s="70"/>
      <c r="F177" s="262">
        <v>1112</v>
      </c>
      <c r="G177" s="275"/>
      <c r="H177" s="38" t="s">
        <v>326</v>
      </c>
      <c r="I177" s="61" t="str">
        <f>IF(OR(ISBLANK(L177),L177="&lt;&lt;Does the total include insurance subsidiaries?&gt;&gt;"),"Comment required",IF(ISTEXT(G177),"No text please",IF(ISBLANK(G177),"Please enter a value",IF(AND(G177=0,ISERROR(FIND("zero",K177))),"Please confirm zero",IF(AND(G177&lt;&gt;0,K177="Confirmed zero"),"Value not zero"," ")))))</f>
        <v>Comment required</v>
      </c>
      <c r="J177" s="16"/>
      <c r="K177" s="47"/>
      <c r="L177" s="306" t="s">
        <v>480</v>
      </c>
      <c r="M177" s="16"/>
      <c r="N177" s="302"/>
      <c r="O177" s="112"/>
      <c r="P177" s="28"/>
      <c r="Q177" s="28"/>
    </row>
    <row r="178" spans="1:17" ht="15" customHeight="1">
      <c r="A178" s="28"/>
      <c r="B178" s="113"/>
      <c r="C178" s="68" t="s">
        <v>478</v>
      </c>
      <c r="D178" s="69"/>
      <c r="E178" s="70"/>
      <c r="F178" s="262">
        <v>1113</v>
      </c>
      <c r="G178" s="298"/>
      <c r="H178" s="38" t="s">
        <v>327</v>
      </c>
      <c r="I178" s="61" t="str">
        <f>IF(ISBLANK(L178),"Comment required",IF(ISTEXT(G178),"No text please",IF(ISBLANK(G178),"Please enter a value",IF(AND(G178=0,ISERROR(FIND("zero",K178))),"Please confirm zero",IF(AND(G178&lt;&gt;0,K178="Confirmed zero"),"Value not zero"," ")))))</f>
        <v>Comment required</v>
      </c>
      <c r="J178" s="16"/>
      <c r="K178" s="47"/>
      <c r="L178" s="301"/>
      <c r="M178" s="16"/>
      <c r="N178" s="302"/>
      <c r="O178" s="112"/>
      <c r="P178" s="28"/>
      <c r="Q178" s="28"/>
    </row>
    <row r="179" spans="1:17" ht="15" customHeight="1">
      <c r="A179" s="28"/>
      <c r="B179" s="113"/>
      <c r="C179" s="68" t="s">
        <v>479</v>
      </c>
      <c r="D179" s="69"/>
      <c r="E179" s="70"/>
      <c r="F179" s="262">
        <v>1114</v>
      </c>
      <c r="G179" s="275"/>
      <c r="H179" s="38" t="s">
        <v>328</v>
      </c>
      <c r="I179" s="61" t="str">
        <f>IF(OR(ISBLANK(L179),L179="&lt;&lt;What types of transactions were netted out?&gt;&gt;"),"Comment required",IF(ISTEXT(G179),"No text please",IF(ISBLANK(G179),"Please enter a value",IF(AND(G179=0,ISERROR(FIND("zero",K179))),"Please confirm zero",IF(AND(G179&lt;&gt;0,K179="Confirmed zero"),"Value not zero",IF($G$179&gt;$G$178,"&gt; 16.c."," "))))))</f>
        <v>Comment required</v>
      </c>
      <c r="J179" s="16"/>
      <c r="K179" s="47"/>
      <c r="L179" s="306" t="s">
        <v>481</v>
      </c>
      <c r="M179" s="16"/>
      <c r="N179" s="302"/>
      <c r="O179" s="112"/>
      <c r="P179" s="28"/>
      <c r="Q179" s="28"/>
    </row>
    <row r="180" spans="1:17" ht="15" customHeight="1">
      <c r="A180" s="28"/>
      <c r="B180" s="113"/>
      <c r="C180" s="68" t="s">
        <v>475</v>
      </c>
      <c r="D180" s="69"/>
      <c r="E180" s="70"/>
      <c r="F180" s="262">
        <v>1115</v>
      </c>
      <c r="G180" s="275"/>
      <c r="H180" s="38" t="s">
        <v>329</v>
      </c>
      <c r="I180" s="61" t="str">
        <f>IF(ISBLANK(L180),"Comment required",IF(ISTEXT(G180),"No text please",IF(ISBLANK(G180),"Please enter a value",IF(AND(G180=0,ISERROR(FIND("zero",K180))),"Please confirm zero",IF(AND(G180&lt;&gt;0,K180="Confirmed zero"),"Value not zero"," ")))))</f>
        <v>Comment required</v>
      </c>
      <c r="J180" s="16"/>
      <c r="K180" s="47"/>
      <c r="L180" s="301"/>
      <c r="M180" s="16"/>
      <c r="N180" s="302"/>
      <c r="O180" s="112"/>
      <c r="P180" s="28"/>
      <c r="Q180" s="28"/>
    </row>
    <row r="181" spans="1:17" ht="15" customHeight="1">
      <c r="A181" s="28"/>
      <c r="B181" s="113"/>
      <c r="C181" s="68" t="s">
        <v>476</v>
      </c>
      <c r="D181" s="69"/>
      <c r="E181" s="70"/>
      <c r="F181" s="262">
        <v>1116</v>
      </c>
      <c r="G181" s="275"/>
      <c r="H181" s="38" t="s">
        <v>477</v>
      </c>
      <c r="I181" s="61" t="str">
        <f>IF(OR(ISBLANK(L181),L181="&lt;&lt;What types of transactions were netted out?&gt;&gt;"),"Comment required",IF(ISTEXT(G181),"No text please",IF(ISBLANK(G181),"Please enter a value",IF(AND(G181=0,ISERROR(FIND("zero",K181))),"Please confirm zero",IF(AND(G181&lt;&gt;0,K181="Confirmed zero"),"Value not zero",IF($G$181&gt;$G$180,"&gt; 16.e."," "))))))</f>
        <v>Comment required</v>
      </c>
      <c r="J181" s="16"/>
      <c r="K181" s="47"/>
      <c r="L181" s="306" t="s">
        <v>481</v>
      </c>
      <c r="M181" s="16"/>
      <c r="N181" s="302"/>
      <c r="O181" s="112"/>
      <c r="P181" s="28"/>
      <c r="Q181" s="28"/>
    </row>
    <row r="182" spans="1:17" ht="15" customHeight="1">
      <c r="A182" s="28"/>
      <c r="B182" s="113"/>
      <c r="C182" s="68" t="s">
        <v>473</v>
      </c>
      <c r="D182" s="69"/>
      <c r="E182" s="70"/>
      <c r="F182" s="262">
        <v>1117</v>
      </c>
      <c r="G182" s="275"/>
      <c r="H182" s="38" t="s">
        <v>474</v>
      </c>
      <c r="I182" s="61" t="str">
        <f>IF(ISBLANK(L182),"Comment required",IF(ISTEXT(G182),"No text please",IF(ISBLANK(G182),"Please enter a value",IF(AND(G182=0,ISERROR(FIND("zero",K182))),"Please confirm zero",IF(AND(G182&lt;&gt;0,K182="Confirmed zero"),"Value not zero"," ")))))</f>
        <v>Comment required</v>
      </c>
      <c r="J182" s="16"/>
      <c r="K182" s="47"/>
      <c r="L182" s="301"/>
      <c r="M182" s="16"/>
      <c r="N182" s="302"/>
      <c r="O182" s="112"/>
      <c r="P182" s="28"/>
      <c r="Q182" s="28"/>
    </row>
    <row r="183" spans="1:17" ht="15" customHeight="1">
      <c r="A183" s="28"/>
      <c r="B183" s="113"/>
      <c r="C183" s="29"/>
      <c r="D183" s="29"/>
      <c r="E183" s="29"/>
      <c r="F183" s="46"/>
      <c r="G183" s="40"/>
      <c r="H183" s="38"/>
      <c r="I183" s="38"/>
      <c r="J183" s="16"/>
      <c r="K183" s="38"/>
      <c r="L183" s="38"/>
      <c r="M183" s="16"/>
      <c r="N183" s="38"/>
      <c r="O183" s="122"/>
      <c r="P183" s="28"/>
      <c r="Q183" s="28"/>
    </row>
    <row r="184" spans="1:17" ht="15" customHeight="1">
      <c r="A184" s="28"/>
      <c r="B184" s="113"/>
      <c r="C184" s="65" t="s">
        <v>432</v>
      </c>
      <c r="D184" s="66"/>
      <c r="E184" s="67"/>
      <c r="F184" s="83" t="s">
        <v>248</v>
      </c>
      <c r="G184" s="40" t="str">
        <f>G$22</f>
        <v>Amount</v>
      </c>
      <c r="H184" s="38"/>
      <c r="I184" s="44" t="str">
        <f>I$22</f>
        <v>Checks</v>
      </c>
      <c r="J184" s="16"/>
      <c r="K184" s="44" t="str">
        <f>K$22</f>
        <v>Remarks</v>
      </c>
      <c r="L184" s="44" t="str">
        <f>$L$175</f>
        <v>Comments Regarding Data Quality/Availability</v>
      </c>
      <c r="M184" s="16"/>
      <c r="N184" s="44" t="str">
        <f>N$22</f>
        <v>Supervisor Comments</v>
      </c>
      <c r="O184" s="112"/>
      <c r="P184" s="28"/>
      <c r="Q184" s="28"/>
    </row>
    <row r="185" spans="1:17" ht="15" customHeight="1">
      <c r="A185" s="28"/>
      <c r="B185" s="113"/>
      <c r="C185" s="68" t="s">
        <v>364</v>
      </c>
      <c r="D185" s="69"/>
      <c r="E185" s="70"/>
      <c r="F185" s="262">
        <v>1118</v>
      </c>
      <c r="G185" s="275"/>
      <c r="H185" s="38" t="s">
        <v>367</v>
      </c>
      <c r="I185" s="61" t="str">
        <f>IF(ISBLANK(L185),"Comment required",IF(ISTEXT(G185),"No text please",IF(ISBLANK(G185),"Please enter a value",IF(AND(G185=0,ISERROR(FIND("zero",K185))),"Please confirm zero",IF(AND(G185&lt;&gt;0,K185="Confirmed zero"),"Value not zero"," ")))))</f>
        <v>Comment required</v>
      </c>
      <c r="J185" s="16"/>
      <c r="K185" s="47"/>
      <c r="L185" s="301"/>
      <c r="M185" s="16"/>
      <c r="N185" s="302"/>
      <c r="O185" s="112"/>
      <c r="P185" s="28"/>
      <c r="Q185" s="28"/>
    </row>
    <row r="186" spans="1:17" ht="15" customHeight="1">
      <c r="A186" s="28"/>
      <c r="B186" s="113"/>
      <c r="C186" s="68" t="s">
        <v>365</v>
      </c>
      <c r="D186" s="69"/>
      <c r="E186" s="70"/>
      <c r="F186" s="262">
        <v>1119</v>
      </c>
      <c r="G186" s="275"/>
      <c r="H186" s="38" t="s">
        <v>368</v>
      </c>
      <c r="I186" s="61" t="str">
        <f>IF(ISBLANK(L186),"Comment required",IF(ISTEXT(G186),"No text please",IF(ISBLANK(G186),"Please enter a value",IF(AND(G186=0,ISERROR(FIND("zero",K186))),"Please confirm zero",IF(AND(G186&lt;&gt;0,K186="Confirmed zero"),"Value not zero"," ")))))</f>
        <v>Comment required</v>
      </c>
      <c r="J186" s="16"/>
      <c r="K186" s="47"/>
      <c r="L186" s="301"/>
      <c r="M186" s="16"/>
      <c r="N186" s="302"/>
      <c r="O186" s="112"/>
      <c r="P186" s="28"/>
      <c r="Q186" s="28"/>
    </row>
    <row r="187" spans="1:17" ht="15" customHeight="1">
      <c r="A187" s="28"/>
      <c r="B187" s="113"/>
      <c r="C187" s="68" t="s">
        <v>366</v>
      </c>
      <c r="D187" s="69"/>
      <c r="E187" s="70"/>
      <c r="F187" s="262">
        <v>1120</v>
      </c>
      <c r="G187" s="298"/>
      <c r="H187" s="38" t="s">
        <v>369</v>
      </c>
      <c r="I187" s="61" t="str">
        <f>IF(ISBLANK(L187),"Comment required",IF(ISTEXT(G187),"No text please",IF(ISBLANK(G187),"Please enter a value",IF(AND(G187=0,ISERROR(FIND("zero",K187))),"Please confirm zero",IF(AND(G187&lt;&gt;0,K187="Confirmed zero"),"Value not zero"," ")))))</f>
        <v>Comment required</v>
      </c>
      <c r="J187" s="16"/>
      <c r="K187" s="47"/>
      <c r="L187" s="301"/>
      <c r="M187" s="16"/>
      <c r="N187" s="302"/>
      <c r="O187" s="112"/>
      <c r="P187" s="28"/>
      <c r="Q187" s="28"/>
    </row>
    <row r="188" spans="1:17" ht="15" customHeight="1">
      <c r="A188" s="28"/>
      <c r="B188" s="113"/>
      <c r="C188" s="29"/>
      <c r="D188" s="29"/>
      <c r="E188" s="29"/>
      <c r="F188" s="46"/>
      <c r="G188" s="40"/>
      <c r="H188" s="38"/>
      <c r="I188" s="38"/>
      <c r="J188" s="16"/>
      <c r="K188" s="38"/>
      <c r="L188" s="38"/>
      <c r="M188" s="16"/>
      <c r="N188" s="38"/>
      <c r="O188" s="122"/>
      <c r="P188" s="28"/>
      <c r="Q188" s="28"/>
    </row>
    <row r="189" spans="1:17" ht="15" customHeight="1">
      <c r="A189" s="28"/>
      <c r="B189" s="119"/>
      <c r="C189" s="272" t="s">
        <v>433</v>
      </c>
      <c r="D189" s="310" t="s">
        <v>233</v>
      </c>
      <c r="E189" s="310" t="str">
        <f>IF(OR($G$10="&lt;select&gt;",$G$14="&lt;select&gt;"),"Amount in specified currency","Amount in "&amp;VLOOKUP($G$14,Parameters!$E$69:$G$72,3,FALSE)&amp;"of the specified currency")</f>
        <v>Amount in specified currency</v>
      </c>
      <c r="F189" s="40"/>
      <c r="G189" s="309" t="str">
        <f>G$22</f>
        <v>Amount</v>
      </c>
      <c r="H189" s="32"/>
      <c r="I189" s="24"/>
      <c r="J189" s="16"/>
      <c r="K189" s="15"/>
      <c r="L189" s="24"/>
      <c r="M189" s="16"/>
      <c r="N189" s="24"/>
      <c r="O189" s="112"/>
      <c r="P189" s="16"/>
      <c r="Q189" s="28"/>
    </row>
    <row r="190" spans="1:17" ht="15" customHeight="1">
      <c r="A190" s="28"/>
      <c r="B190" s="119"/>
      <c r="C190" s="271" t="s">
        <v>470</v>
      </c>
      <c r="D190" s="310"/>
      <c r="E190" s="310"/>
      <c r="F190" s="64" t="s">
        <v>248</v>
      </c>
      <c r="G190" s="309"/>
      <c r="H190" s="38"/>
      <c r="I190" s="44" t="str">
        <f>I$22</f>
        <v>Checks</v>
      </c>
      <c r="J190" s="16"/>
      <c r="K190" s="44" t="str">
        <f>K$22</f>
        <v>Remarks</v>
      </c>
      <c r="L190" s="44" t="str">
        <f>$L$175</f>
        <v>Comments Regarding Data Quality/Availability</v>
      </c>
      <c r="M190" s="16"/>
      <c r="N190" s="44" t="str">
        <f>N$22</f>
        <v>Supervisor Comments</v>
      </c>
      <c r="O190" s="112"/>
      <c r="P190" s="16"/>
      <c r="Q190" s="28"/>
    </row>
    <row r="191" spans="1:17" ht="15" customHeight="1">
      <c r="A191" s="28"/>
      <c r="B191" s="113"/>
      <c r="C191" s="263" t="s">
        <v>251</v>
      </c>
      <c r="D191" s="268" t="s">
        <v>16</v>
      </c>
      <c r="E191" s="276"/>
      <c r="F191" s="262">
        <v>1121</v>
      </c>
      <c r="G191" s="265" t="str">
        <f t="shared" ref="G191:G205" si="2">IF(AND(ISNUMBER(E191),VLOOKUP(D191,$D$229:$I$243,COLUMNS($D$229:$I$243),FALSE)=" "),E191*VLOOKUP(D191,$D$229:$E$243,2,FALSE)," ")</f>
        <v xml:space="preserve"> </v>
      </c>
      <c r="H191" s="38" t="s">
        <v>370</v>
      </c>
      <c r="I191" s="61" t="str">
        <f t="shared" ref="I191:I205" si="3">IF(ISBLANK(L191),"Comment required",IF(ISTEXT(E191),"No text please",IF(E191&lt;0,"No negatives please",IF(ISBLANK(E191),"Please enter a value",IF(AND(E191=0,ISERROR(FIND("zero",K191))),"Please confirm zero",IF(AND(E191&lt;&gt;0,K191="Confirmed zero"),"Value not zero",IF(VLOOKUP(D191,$D$229:$I$243,6,FALSE)&lt;&gt;" ","See item "&amp;VLOOKUP(D191,$D$229:$I$243,6-1,FALSE)," ")))))))</f>
        <v>Comment required</v>
      </c>
      <c r="J191" s="16"/>
      <c r="K191" s="47"/>
      <c r="L191" s="301"/>
      <c r="M191" s="16"/>
      <c r="N191" s="302"/>
      <c r="O191" s="112"/>
      <c r="P191" s="28"/>
      <c r="Q191" s="28"/>
    </row>
    <row r="192" spans="1:17" ht="15" customHeight="1">
      <c r="A192" s="28"/>
      <c r="B192" s="113"/>
      <c r="C192" s="263" t="s">
        <v>252</v>
      </c>
      <c r="D192" s="268" t="s">
        <v>21</v>
      </c>
      <c r="E192" s="277"/>
      <c r="F192" s="262">
        <v>1122</v>
      </c>
      <c r="G192" s="265" t="str">
        <f t="shared" si="2"/>
        <v xml:space="preserve"> </v>
      </c>
      <c r="H192" s="38" t="s">
        <v>371</v>
      </c>
      <c r="I192" s="61" t="str">
        <f t="shared" si="3"/>
        <v>Comment required</v>
      </c>
      <c r="J192" s="16"/>
      <c r="K192" s="47"/>
      <c r="L192" s="301"/>
      <c r="M192" s="16"/>
      <c r="N192" s="302"/>
      <c r="O192" s="112"/>
      <c r="P192" s="28"/>
      <c r="Q192" s="28"/>
    </row>
    <row r="193" spans="1:17" ht="15" customHeight="1">
      <c r="A193" s="28"/>
      <c r="B193" s="113"/>
      <c r="C193" s="263" t="s">
        <v>253</v>
      </c>
      <c r="D193" s="268" t="s">
        <v>17</v>
      </c>
      <c r="E193" s="278"/>
      <c r="F193" s="262">
        <v>1123</v>
      </c>
      <c r="G193" s="265" t="str">
        <f t="shared" si="2"/>
        <v xml:space="preserve"> </v>
      </c>
      <c r="H193" s="38" t="s">
        <v>372</v>
      </c>
      <c r="I193" s="61" t="str">
        <f t="shared" si="3"/>
        <v>Comment required</v>
      </c>
      <c r="J193" s="16"/>
      <c r="K193" s="47"/>
      <c r="L193" s="301"/>
      <c r="M193" s="16"/>
      <c r="N193" s="302"/>
      <c r="O193" s="112"/>
      <c r="P193" s="28"/>
      <c r="Q193" s="28"/>
    </row>
    <row r="194" spans="1:17" ht="15" customHeight="1">
      <c r="A194" s="28"/>
      <c r="B194" s="113"/>
      <c r="C194" s="263" t="s">
        <v>254</v>
      </c>
      <c r="D194" s="268" t="s">
        <v>19</v>
      </c>
      <c r="E194" s="279"/>
      <c r="F194" s="262">
        <v>1124</v>
      </c>
      <c r="G194" s="265" t="str">
        <f t="shared" si="2"/>
        <v xml:space="preserve"> </v>
      </c>
      <c r="H194" s="38" t="s">
        <v>373</v>
      </c>
      <c r="I194" s="61" t="str">
        <f t="shared" si="3"/>
        <v>Comment required</v>
      </c>
      <c r="J194" s="16"/>
      <c r="K194" s="47"/>
      <c r="L194" s="301"/>
      <c r="M194" s="16"/>
      <c r="N194" s="302"/>
      <c r="O194" s="112"/>
      <c r="P194" s="28"/>
      <c r="Q194" s="28"/>
    </row>
    <row r="195" spans="1:17" ht="15" customHeight="1">
      <c r="A195" s="28"/>
      <c r="B195" s="113"/>
      <c r="C195" s="263" t="s">
        <v>255</v>
      </c>
      <c r="D195" s="268" t="s">
        <v>14</v>
      </c>
      <c r="E195" s="280"/>
      <c r="F195" s="262">
        <v>1125</v>
      </c>
      <c r="G195" s="265" t="str">
        <f t="shared" si="2"/>
        <v xml:space="preserve"> </v>
      </c>
      <c r="H195" s="38" t="s">
        <v>374</v>
      </c>
      <c r="I195" s="61" t="str">
        <f t="shared" si="3"/>
        <v>Comment required</v>
      </c>
      <c r="J195" s="16"/>
      <c r="K195" s="47"/>
      <c r="L195" s="301"/>
      <c r="M195" s="16"/>
      <c r="N195" s="302"/>
      <c r="O195" s="112"/>
      <c r="P195" s="28"/>
      <c r="Q195" s="28"/>
    </row>
    <row r="196" spans="1:17" ht="15" customHeight="1">
      <c r="A196" s="28"/>
      <c r="B196" s="113"/>
      <c r="C196" s="263" t="s">
        <v>256</v>
      </c>
      <c r="D196" s="268" t="s">
        <v>11</v>
      </c>
      <c r="E196" s="281"/>
      <c r="F196" s="262">
        <v>1126</v>
      </c>
      <c r="G196" s="265" t="str">
        <f t="shared" si="2"/>
        <v xml:space="preserve"> </v>
      </c>
      <c r="H196" s="38" t="s">
        <v>375</v>
      </c>
      <c r="I196" s="61" t="str">
        <f t="shared" si="3"/>
        <v>Comment required</v>
      </c>
      <c r="J196" s="16"/>
      <c r="K196" s="47"/>
      <c r="L196" s="301"/>
      <c r="M196" s="16"/>
      <c r="N196" s="302"/>
      <c r="O196" s="112"/>
      <c r="P196" s="28"/>
      <c r="Q196" s="28"/>
    </row>
    <row r="197" spans="1:17" ht="15" customHeight="1">
      <c r="A197" s="28"/>
      <c r="B197" s="113"/>
      <c r="C197" s="263" t="s">
        <v>257</v>
      </c>
      <c r="D197" s="268" t="s">
        <v>12</v>
      </c>
      <c r="E197" s="282"/>
      <c r="F197" s="262">
        <v>1127</v>
      </c>
      <c r="G197" s="265" t="str">
        <f t="shared" si="2"/>
        <v xml:space="preserve"> </v>
      </c>
      <c r="H197" s="38" t="s">
        <v>376</v>
      </c>
      <c r="I197" s="61" t="str">
        <f t="shared" si="3"/>
        <v>Comment required</v>
      </c>
      <c r="J197" s="16"/>
      <c r="K197" s="47"/>
      <c r="L197" s="301"/>
      <c r="M197" s="16"/>
      <c r="N197" s="302"/>
      <c r="O197" s="112"/>
      <c r="P197" s="28"/>
      <c r="Q197" s="28"/>
    </row>
    <row r="198" spans="1:17" ht="15" customHeight="1">
      <c r="A198" s="28"/>
      <c r="B198" s="113"/>
      <c r="C198" s="263" t="s">
        <v>258</v>
      </c>
      <c r="D198" s="268" t="s">
        <v>15</v>
      </c>
      <c r="E198" s="283"/>
      <c r="F198" s="262">
        <v>1128</v>
      </c>
      <c r="G198" s="265" t="str">
        <f t="shared" si="2"/>
        <v xml:space="preserve"> </v>
      </c>
      <c r="H198" s="38" t="s">
        <v>377</v>
      </c>
      <c r="I198" s="61" t="str">
        <f t="shared" si="3"/>
        <v>Comment required</v>
      </c>
      <c r="J198" s="16"/>
      <c r="K198" s="47"/>
      <c r="L198" s="301"/>
      <c r="M198" s="16"/>
      <c r="N198" s="302"/>
      <c r="O198" s="112"/>
      <c r="P198" s="28"/>
      <c r="Q198" s="28"/>
    </row>
    <row r="199" spans="1:17" ht="15" customHeight="1">
      <c r="A199" s="28"/>
      <c r="B199" s="113"/>
      <c r="C199" s="263" t="s">
        <v>259</v>
      </c>
      <c r="D199" s="268" t="s">
        <v>20</v>
      </c>
      <c r="E199" s="284"/>
      <c r="F199" s="262">
        <v>1129</v>
      </c>
      <c r="G199" s="265" t="str">
        <f t="shared" si="2"/>
        <v xml:space="preserve"> </v>
      </c>
      <c r="H199" s="38" t="s">
        <v>378</v>
      </c>
      <c r="I199" s="61" t="str">
        <f t="shared" si="3"/>
        <v>Comment required</v>
      </c>
      <c r="J199" s="16"/>
      <c r="K199" s="47"/>
      <c r="L199" s="301"/>
      <c r="M199" s="16"/>
      <c r="N199" s="302"/>
      <c r="O199" s="112"/>
      <c r="P199" s="28"/>
      <c r="Q199" s="28"/>
    </row>
    <row r="200" spans="1:17" ht="15" customHeight="1">
      <c r="A200" s="28"/>
      <c r="B200" s="113"/>
      <c r="C200" s="263" t="s">
        <v>260</v>
      </c>
      <c r="D200" s="268" t="s">
        <v>13</v>
      </c>
      <c r="E200" s="285"/>
      <c r="F200" s="262">
        <v>1130</v>
      </c>
      <c r="G200" s="265" t="str">
        <f t="shared" si="2"/>
        <v xml:space="preserve"> </v>
      </c>
      <c r="H200" s="38" t="s">
        <v>379</v>
      </c>
      <c r="I200" s="61" t="str">
        <f t="shared" si="3"/>
        <v>Comment required</v>
      </c>
      <c r="J200" s="16"/>
      <c r="K200" s="47"/>
      <c r="L200" s="301"/>
      <c r="M200" s="16"/>
      <c r="N200" s="302"/>
      <c r="O200" s="112"/>
      <c r="P200" s="28"/>
      <c r="Q200" s="28"/>
    </row>
    <row r="201" spans="1:17" ht="15" customHeight="1">
      <c r="A201" s="28"/>
      <c r="B201" s="113"/>
      <c r="C201" s="263" t="s">
        <v>261</v>
      </c>
      <c r="D201" s="268" t="s">
        <v>43</v>
      </c>
      <c r="E201" s="286"/>
      <c r="F201" s="262">
        <v>1131</v>
      </c>
      <c r="G201" s="265" t="str">
        <f t="shared" si="2"/>
        <v xml:space="preserve"> </v>
      </c>
      <c r="H201" s="38" t="s">
        <v>380</v>
      </c>
      <c r="I201" s="61" t="str">
        <f t="shared" si="3"/>
        <v>Comment required</v>
      </c>
      <c r="J201" s="16"/>
      <c r="K201" s="47"/>
      <c r="L201" s="301"/>
      <c r="M201" s="16"/>
      <c r="N201" s="302"/>
      <c r="O201" s="112"/>
      <c r="P201" s="28"/>
      <c r="Q201" s="28"/>
    </row>
    <row r="202" spans="1:17" ht="15" customHeight="1">
      <c r="A202" s="28"/>
      <c r="B202" s="113"/>
      <c r="C202" s="263" t="s">
        <v>262</v>
      </c>
      <c r="D202" s="268" t="s">
        <v>10</v>
      </c>
      <c r="E202" s="287"/>
      <c r="F202" s="262">
        <v>1132</v>
      </c>
      <c r="G202" s="265" t="str">
        <f t="shared" si="2"/>
        <v xml:space="preserve"> </v>
      </c>
      <c r="H202" s="38" t="s">
        <v>381</v>
      </c>
      <c r="I202" s="61" t="str">
        <f t="shared" si="3"/>
        <v>Comment required</v>
      </c>
      <c r="J202" s="16"/>
      <c r="K202" s="47"/>
      <c r="L202" s="301"/>
      <c r="M202" s="16"/>
      <c r="N202" s="302"/>
      <c r="O202" s="112"/>
      <c r="P202" s="28"/>
      <c r="Q202" s="28"/>
    </row>
    <row r="203" spans="1:17" ht="15" customHeight="1">
      <c r="A203" s="28"/>
      <c r="B203" s="113"/>
      <c r="C203" s="263" t="s">
        <v>264</v>
      </c>
      <c r="D203" s="268" t="s">
        <v>208</v>
      </c>
      <c r="E203" s="288"/>
      <c r="F203" s="262">
        <v>1133</v>
      </c>
      <c r="G203" s="265" t="str">
        <f t="shared" si="2"/>
        <v xml:space="preserve"> </v>
      </c>
      <c r="H203" s="38" t="s">
        <v>382</v>
      </c>
      <c r="I203" s="61" t="str">
        <f t="shared" si="3"/>
        <v>Comment required</v>
      </c>
      <c r="J203" s="16"/>
      <c r="K203" s="47"/>
      <c r="L203" s="301"/>
      <c r="M203" s="16"/>
      <c r="N203" s="302"/>
      <c r="O203" s="112"/>
      <c r="P203" s="28"/>
      <c r="Q203" s="28"/>
    </row>
    <row r="204" spans="1:17" ht="15" customHeight="1">
      <c r="A204" s="28"/>
      <c r="B204" s="113"/>
      <c r="C204" s="263" t="s">
        <v>265</v>
      </c>
      <c r="D204" s="268" t="s">
        <v>209</v>
      </c>
      <c r="E204" s="289"/>
      <c r="F204" s="262">
        <v>1134</v>
      </c>
      <c r="G204" s="265" t="str">
        <f t="shared" si="2"/>
        <v xml:space="preserve"> </v>
      </c>
      <c r="H204" s="38" t="s">
        <v>454</v>
      </c>
      <c r="I204" s="61" t="str">
        <f t="shared" si="3"/>
        <v>Comment required</v>
      </c>
      <c r="J204" s="16"/>
      <c r="K204" s="47"/>
      <c r="L204" s="301"/>
      <c r="M204" s="16"/>
      <c r="N204" s="302"/>
      <c r="O204" s="112"/>
      <c r="P204" s="28"/>
      <c r="Q204" s="28"/>
    </row>
    <row r="205" spans="1:17" ht="15" customHeight="1">
      <c r="A205" s="28"/>
      <c r="B205" s="113"/>
      <c r="C205" s="263" t="s">
        <v>266</v>
      </c>
      <c r="D205" s="268" t="s">
        <v>57</v>
      </c>
      <c r="E205" s="290"/>
      <c r="F205" s="262">
        <v>1135</v>
      </c>
      <c r="G205" s="265" t="str">
        <f t="shared" si="2"/>
        <v xml:space="preserve"> </v>
      </c>
      <c r="H205" s="38" t="s">
        <v>437</v>
      </c>
      <c r="I205" s="61" t="str">
        <f t="shared" si="3"/>
        <v>Comment required</v>
      </c>
      <c r="J205" s="16"/>
      <c r="K205" s="47"/>
      <c r="L205" s="301"/>
      <c r="M205" s="16"/>
      <c r="N205" s="302"/>
      <c r="O205" s="112"/>
      <c r="P205" s="28"/>
      <c r="Q205" s="28"/>
    </row>
    <row r="206" spans="1:17" ht="15" customHeight="1">
      <c r="A206" s="28"/>
      <c r="B206" s="113"/>
      <c r="C206" s="141" t="s">
        <v>384</v>
      </c>
      <c r="D206" s="69"/>
      <c r="E206" s="70"/>
      <c r="F206" s="262">
        <v>1136</v>
      </c>
      <c r="G206" s="275"/>
      <c r="H206" s="38" t="s">
        <v>383</v>
      </c>
      <c r="I206" s="61" t="str">
        <f t="shared" ref="I206:I215" si="4">IF(ISBLANK(L206),"Comment required",IF(ISTEXT(G206),"No text please",IF(ISBLANK(G206),"Please enter a value",IF(AND(G206=0,ISERROR(FIND("zero",K206))),"Please confirm zero",IF(AND(G206&lt;&gt;0,K206="Confirmed zero"),"Value not zero"," ")))))</f>
        <v>Comment required</v>
      </c>
      <c r="J206" s="16"/>
      <c r="K206" s="47"/>
      <c r="L206" s="301"/>
      <c r="M206" s="16"/>
      <c r="N206" s="302"/>
      <c r="O206" s="112"/>
      <c r="P206" s="28"/>
      <c r="Q206" s="28"/>
    </row>
    <row r="207" spans="1:17" ht="15" customHeight="1">
      <c r="A207" s="28"/>
      <c r="B207" s="113"/>
      <c r="C207" s="141" t="s">
        <v>385</v>
      </c>
      <c r="D207" s="69"/>
      <c r="E207" s="70"/>
      <c r="F207" s="262">
        <v>1137</v>
      </c>
      <c r="G207" s="275"/>
      <c r="H207" s="38" t="s">
        <v>389</v>
      </c>
      <c r="I207" s="61" t="str">
        <f t="shared" si="4"/>
        <v>Comment required</v>
      </c>
      <c r="J207" s="16"/>
      <c r="K207" s="47"/>
      <c r="L207" s="301"/>
      <c r="M207" s="16"/>
      <c r="N207" s="302"/>
      <c r="O207" s="112"/>
      <c r="P207" s="28"/>
      <c r="Q207" s="28"/>
    </row>
    <row r="208" spans="1:17" ht="15" customHeight="1">
      <c r="A208" s="28"/>
      <c r="B208" s="113"/>
      <c r="C208" s="141" t="s">
        <v>386</v>
      </c>
      <c r="D208" s="69"/>
      <c r="E208" s="70"/>
      <c r="F208" s="262">
        <v>1138</v>
      </c>
      <c r="G208" s="275"/>
      <c r="H208" s="38" t="s">
        <v>390</v>
      </c>
      <c r="I208" s="61" t="str">
        <f t="shared" si="4"/>
        <v>Comment required</v>
      </c>
      <c r="J208" s="16"/>
      <c r="K208" s="47"/>
      <c r="L208" s="301"/>
      <c r="M208" s="16"/>
      <c r="N208" s="302"/>
      <c r="O208" s="112"/>
      <c r="P208" s="28"/>
      <c r="Q208" s="28"/>
    </row>
    <row r="209" spans="1:17" ht="15" customHeight="1">
      <c r="A209" s="28"/>
      <c r="B209" s="113"/>
      <c r="C209" s="141" t="s">
        <v>387</v>
      </c>
      <c r="D209" s="69"/>
      <c r="E209" s="70"/>
      <c r="F209" s="262">
        <v>1139</v>
      </c>
      <c r="G209" s="275"/>
      <c r="H209" s="38" t="s">
        <v>391</v>
      </c>
      <c r="I209" s="61" t="str">
        <f t="shared" si="4"/>
        <v>Comment required</v>
      </c>
      <c r="J209" s="16"/>
      <c r="K209" s="47"/>
      <c r="L209" s="301"/>
      <c r="M209" s="16"/>
      <c r="N209" s="302"/>
      <c r="O209" s="112"/>
      <c r="P209" s="28"/>
      <c r="Q209" s="28"/>
    </row>
    <row r="210" spans="1:17" ht="15" customHeight="1">
      <c r="A210" s="28"/>
      <c r="B210" s="113"/>
      <c r="C210" s="141" t="s">
        <v>388</v>
      </c>
      <c r="D210" s="69"/>
      <c r="E210" s="70"/>
      <c r="F210" s="262">
        <v>1140</v>
      </c>
      <c r="G210" s="275"/>
      <c r="H210" s="38" t="s">
        <v>392</v>
      </c>
      <c r="I210" s="61" t="str">
        <f t="shared" si="4"/>
        <v>Comment required</v>
      </c>
      <c r="J210" s="16"/>
      <c r="K210" s="47"/>
      <c r="L210" s="301"/>
      <c r="M210" s="16"/>
      <c r="N210" s="302"/>
      <c r="O210" s="112"/>
      <c r="P210" s="28"/>
      <c r="Q210" s="28"/>
    </row>
    <row r="211" spans="1:17" ht="15" customHeight="1">
      <c r="A211" s="28"/>
      <c r="B211" s="113"/>
      <c r="C211" s="141" t="s">
        <v>443</v>
      </c>
      <c r="D211" s="69"/>
      <c r="E211" s="70"/>
      <c r="F211" s="262">
        <v>1141</v>
      </c>
      <c r="G211" s="275"/>
      <c r="H211" s="38" t="s">
        <v>393</v>
      </c>
      <c r="I211" s="61" t="str">
        <f t="shared" si="4"/>
        <v>Comment required</v>
      </c>
      <c r="J211" s="16"/>
      <c r="K211" s="47"/>
      <c r="L211" s="301"/>
      <c r="M211" s="16"/>
      <c r="N211" s="302"/>
      <c r="O211" s="112"/>
      <c r="P211" s="28"/>
      <c r="Q211" s="28"/>
    </row>
    <row r="212" spans="1:17" ht="15" customHeight="1">
      <c r="A212" s="28"/>
      <c r="B212" s="113"/>
      <c r="C212" s="141" t="s">
        <v>438</v>
      </c>
      <c r="D212" s="69"/>
      <c r="E212" s="70"/>
      <c r="F212" s="262">
        <v>1142</v>
      </c>
      <c r="G212" s="275"/>
      <c r="H212" s="38" t="s">
        <v>394</v>
      </c>
      <c r="I212" s="61" t="str">
        <f t="shared" si="4"/>
        <v>Comment required</v>
      </c>
      <c r="J212" s="16"/>
      <c r="K212" s="47"/>
      <c r="L212" s="301"/>
      <c r="M212" s="16"/>
      <c r="N212" s="302"/>
      <c r="O212" s="112"/>
      <c r="P212" s="28"/>
      <c r="Q212" s="28"/>
    </row>
    <row r="213" spans="1:17" ht="15" customHeight="1">
      <c r="A213" s="28"/>
      <c r="B213" s="113"/>
      <c r="C213" s="141" t="s">
        <v>439</v>
      </c>
      <c r="D213" s="69"/>
      <c r="E213" s="70"/>
      <c r="F213" s="262">
        <v>1143</v>
      </c>
      <c r="G213" s="275"/>
      <c r="H213" s="38" t="s">
        <v>395</v>
      </c>
      <c r="I213" s="61" t="str">
        <f t="shared" si="4"/>
        <v>Comment required</v>
      </c>
      <c r="J213" s="16"/>
      <c r="K213" s="47"/>
      <c r="L213" s="301"/>
      <c r="M213" s="16"/>
      <c r="N213" s="302"/>
      <c r="O213" s="112"/>
      <c r="P213" s="28"/>
      <c r="Q213" s="28"/>
    </row>
    <row r="214" spans="1:17" ht="15" customHeight="1">
      <c r="A214" s="28"/>
      <c r="B214" s="113"/>
      <c r="C214" s="141" t="s">
        <v>440</v>
      </c>
      <c r="D214" s="69"/>
      <c r="E214" s="70"/>
      <c r="F214" s="262">
        <v>1144</v>
      </c>
      <c r="G214" s="275"/>
      <c r="H214" s="38" t="s">
        <v>330</v>
      </c>
      <c r="I214" s="61" t="str">
        <f t="shared" si="4"/>
        <v>Comment required</v>
      </c>
      <c r="J214" s="16"/>
      <c r="K214" s="47"/>
      <c r="L214" s="301"/>
      <c r="M214" s="16"/>
      <c r="N214" s="302"/>
      <c r="O214" s="112"/>
      <c r="P214" s="28"/>
      <c r="Q214" s="28"/>
    </row>
    <row r="215" spans="1:17" ht="15" customHeight="1">
      <c r="A215" s="28"/>
      <c r="B215" s="113"/>
      <c r="C215" s="141" t="s">
        <v>441</v>
      </c>
      <c r="D215" s="69"/>
      <c r="E215" s="70"/>
      <c r="F215" s="262">
        <v>1145</v>
      </c>
      <c r="G215" s="275"/>
      <c r="H215" s="38" t="s">
        <v>331</v>
      </c>
      <c r="I215" s="61" t="str">
        <f t="shared" si="4"/>
        <v>Comment required</v>
      </c>
      <c r="J215" s="16"/>
      <c r="K215" s="47"/>
      <c r="L215" s="301"/>
      <c r="M215" s="16"/>
      <c r="N215" s="302"/>
      <c r="O215" s="112"/>
      <c r="P215" s="28"/>
      <c r="Q215" s="28"/>
    </row>
    <row r="216" spans="1:17" ht="15" customHeight="1">
      <c r="A216" s="28"/>
      <c r="B216" s="113"/>
      <c r="C216" s="29"/>
      <c r="D216" s="29"/>
      <c r="E216" s="29"/>
      <c r="F216" s="46"/>
      <c r="G216" s="40"/>
      <c r="H216" s="38"/>
      <c r="I216" s="38"/>
      <c r="J216" s="16"/>
      <c r="K216" s="38"/>
      <c r="L216" s="38"/>
      <c r="M216" s="16"/>
      <c r="N216" s="38"/>
      <c r="O216" s="122"/>
      <c r="P216" s="28"/>
      <c r="Q216" s="28"/>
    </row>
    <row r="217" spans="1:17" ht="15" customHeight="1">
      <c r="A217" s="28"/>
      <c r="B217" s="113"/>
      <c r="C217" s="65" t="s">
        <v>434</v>
      </c>
      <c r="D217" s="66"/>
      <c r="E217" s="67"/>
      <c r="F217" s="83" t="s">
        <v>248</v>
      </c>
      <c r="G217" s="40" t="str">
        <f>G$22</f>
        <v>Amount</v>
      </c>
      <c r="H217" s="38"/>
      <c r="I217" s="44" t="str">
        <f>I$22</f>
        <v>Checks</v>
      </c>
      <c r="J217" s="16"/>
      <c r="K217" s="44" t="str">
        <f>K$22</f>
        <v>Remarks</v>
      </c>
      <c r="L217" s="44" t="str">
        <f>$L$175</f>
        <v>Comments Regarding Data Quality/Availability</v>
      </c>
      <c r="M217" s="16"/>
      <c r="N217" s="44" t="str">
        <f>N$22</f>
        <v>Supervisor Comments</v>
      </c>
      <c r="O217" s="112"/>
      <c r="P217" s="28"/>
      <c r="Q217" s="28"/>
    </row>
    <row r="218" spans="1:17" ht="15" customHeight="1">
      <c r="A218" s="28"/>
      <c r="B218" s="113"/>
      <c r="C218" s="68" t="s">
        <v>396</v>
      </c>
      <c r="D218" s="69"/>
      <c r="E218" s="70"/>
      <c r="F218" s="262">
        <v>1146</v>
      </c>
      <c r="G218" s="275"/>
      <c r="H218" s="38" t="s">
        <v>401</v>
      </c>
      <c r="I218" s="61" t="str">
        <f>IF(ISBLANK(L218),"Comment required",IF(ISTEXT(G218),"No text please",IF(ISBLANK(G218),"Please enter a value",IF(AND(G218=0,ISERROR(FIND("zero",K218))),"Please confirm zero",IF(AND(G218&lt;&gt;0,K218="Confirmed zero"),"Value not zero"," ")))))</f>
        <v>Comment required</v>
      </c>
      <c r="J218" s="16"/>
      <c r="K218" s="47"/>
      <c r="L218" s="301"/>
      <c r="M218" s="16"/>
      <c r="N218" s="302"/>
      <c r="O218" s="112"/>
      <c r="P218" s="28"/>
      <c r="Q218" s="28"/>
    </row>
    <row r="219" spans="1:17" ht="15" customHeight="1">
      <c r="A219" s="28"/>
      <c r="B219" s="113"/>
      <c r="C219" s="68" t="s">
        <v>397</v>
      </c>
      <c r="D219" s="69"/>
      <c r="E219" s="70"/>
      <c r="F219" s="262">
        <v>1147</v>
      </c>
      <c r="G219" s="275"/>
      <c r="H219" s="38" t="s">
        <v>402</v>
      </c>
      <c r="I219" s="61" t="str">
        <f>IF(ISBLANK(L219),"Comment required",IF(ISTEXT(G219),"No text please",IF(ISBLANK(G219),"Please enter a value",IF(AND(G219=0,ISERROR(FIND("zero",K219))),"Please confirm zero",IF(AND(G219&lt;&gt;0,K219="Confirmed zero"),"Value not zero"," ")))))</f>
        <v>Comment required</v>
      </c>
      <c r="J219" s="16"/>
      <c r="K219" s="47"/>
      <c r="L219" s="301"/>
      <c r="M219" s="16"/>
      <c r="N219" s="302"/>
      <c r="O219" s="112"/>
      <c r="P219" s="28"/>
      <c r="Q219" s="28"/>
    </row>
    <row r="220" spans="1:17" ht="15" customHeight="1">
      <c r="A220" s="28"/>
      <c r="B220" s="113"/>
      <c r="C220" s="68" t="s">
        <v>398</v>
      </c>
      <c r="D220" s="69"/>
      <c r="E220" s="70"/>
      <c r="F220" s="262">
        <v>1148</v>
      </c>
      <c r="G220" s="275"/>
      <c r="H220" s="38" t="s">
        <v>403</v>
      </c>
      <c r="I220" s="61" t="str">
        <f>IF(ISBLANK(L220),"Comment required",IF(ISTEXT(G220),"No text please",IF(ISBLANK(G220),"Please enter a value",IF(AND(G220=0,ISERROR(FIND("zero",K220))),"Please confirm zero",IF(AND(G220&lt;&gt;0,K220="Confirmed zero"),"Value not zero",IF($G$220&lt;SUM($G$221:$G$222),"&lt; 19.d. + 19.e."," "))))))</f>
        <v>Comment required</v>
      </c>
      <c r="J220" s="16"/>
      <c r="K220" s="47"/>
      <c r="L220" s="301"/>
      <c r="M220" s="16"/>
      <c r="N220" s="302"/>
      <c r="O220" s="112"/>
      <c r="P220" s="28"/>
      <c r="Q220" s="28"/>
    </row>
    <row r="221" spans="1:17" ht="15" customHeight="1">
      <c r="A221" s="28"/>
      <c r="B221" s="113"/>
      <c r="C221" s="68" t="s">
        <v>399</v>
      </c>
      <c r="D221" s="69"/>
      <c r="E221" s="70"/>
      <c r="F221" s="262">
        <v>1149</v>
      </c>
      <c r="G221" s="275"/>
      <c r="H221" s="38" t="s">
        <v>404</v>
      </c>
      <c r="I221" s="61" t="str">
        <f>IF(ISBLANK(L221),"Comment required",IF(ISTEXT(G221),"No text please",IF(ISBLANK(G221),"Please enter a value",IF(AND(G221=0,ISERROR(FIND("zero",K221))),"Please confirm zero",IF(AND(G221&lt;&gt;0,K221="Confirmed zero"),"Value not zero",IF($G$220&lt;$G$221,"&gt; 19.c."," "))))))</f>
        <v>Comment required</v>
      </c>
      <c r="J221" s="16"/>
      <c r="K221" s="47"/>
      <c r="L221" s="301"/>
      <c r="M221" s="16"/>
      <c r="N221" s="302"/>
      <c r="O221" s="112"/>
      <c r="P221" s="28"/>
      <c r="Q221" s="28"/>
    </row>
    <row r="222" spans="1:17" ht="15" customHeight="1">
      <c r="A222" s="28"/>
      <c r="B222" s="113"/>
      <c r="C222" s="68" t="s">
        <v>400</v>
      </c>
      <c r="D222" s="69"/>
      <c r="E222" s="70"/>
      <c r="F222" s="262">
        <v>1150</v>
      </c>
      <c r="G222" s="275"/>
      <c r="H222" s="38" t="s">
        <v>405</v>
      </c>
      <c r="I222" s="61" t="str">
        <f>IF(ISBLANK(L222),"Comment required",IF(ISTEXT(G222),"No text please",IF(ISBLANK(G222),"Please enter a value",IF(AND(G222=0,ISERROR(FIND("zero",K222))),"Please confirm zero",IF(AND(G222&lt;&gt;0,K222="Confirmed zero"),"Value not zero",IF($G$220&lt;$G$222,"&gt; 19.c."," "))))))</f>
        <v>Comment required</v>
      </c>
      <c r="J222" s="16"/>
      <c r="K222" s="47"/>
      <c r="L222" s="301"/>
      <c r="M222" s="16"/>
      <c r="N222" s="302"/>
      <c r="O222" s="112"/>
      <c r="P222" s="28"/>
      <c r="Q222" s="28"/>
    </row>
    <row r="223" spans="1:17" ht="15" customHeight="1">
      <c r="A223" s="28"/>
      <c r="B223" s="113"/>
      <c r="C223" s="29"/>
      <c r="D223" s="29"/>
      <c r="E223" s="29"/>
      <c r="F223" s="46"/>
      <c r="G223" s="40"/>
      <c r="H223" s="38"/>
      <c r="I223" s="38"/>
      <c r="J223" s="16"/>
      <c r="K223" s="38"/>
      <c r="L223" s="38"/>
      <c r="M223" s="16"/>
      <c r="N223" s="38"/>
      <c r="O223" s="122"/>
      <c r="P223" s="28"/>
      <c r="Q223" s="28"/>
    </row>
    <row r="224" spans="1:17" ht="20.100000000000001" customHeight="1">
      <c r="A224" s="28"/>
      <c r="B224" s="242"/>
      <c r="C224" s="146"/>
      <c r="D224" s="146"/>
      <c r="E224" s="146"/>
      <c r="F224" s="243"/>
      <c r="G224" s="146"/>
      <c r="H224" s="254"/>
      <c r="I224" s="146"/>
      <c r="J224" s="148"/>
      <c r="K224" s="148"/>
      <c r="L224" s="146"/>
      <c r="M224" s="148"/>
      <c r="N224" s="146"/>
      <c r="O224" s="235"/>
      <c r="P224" s="28"/>
      <c r="Q224" s="28"/>
    </row>
    <row r="225" spans="1:17" customFormat="1" ht="20.100000000000001" customHeight="1">
      <c r="A225" s="293"/>
      <c r="B225" s="75" t="str">
        <f>"Annual Average Exchange Rates"&amp;IF(ISNUMBER(G9)," ("&amp;VLOOKUP(MONTH(EDATE($G$9,-12)+1),Parameters!$D$83:$E$94,2)&amp;" "&amp;YEAR(EDATE($G$9,-12)+1)&amp;" through "&amp;VLOOKUP(MONTH($G$9),Parameters!$D$83:$E$94,2)&amp;" "&amp;YEAR($G$9)&amp;")","")</f>
        <v>Annual Average Exchange Rates</v>
      </c>
      <c r="C225" s="76"/>
      <c r="D225" s="76"/>
      <c r="E225" s="76"/>
      <c r="F225" s="76"/>
      <c r="G225" s="76"/>
      <c r="H225" s="108"/>
      <c r="I225" s="76"/>
      <c r="J225" s="76"/>
      <c r="K225" s="76"/>
      <c r="L225" s="76"/>
      <c r="M225" s="76"/>
      <c r="N225" s="76"/>
      <c r="O225" s="77"/>
      <c r="P225" s="293"/>
    </row>
    <row r="226" spans="1:17" customFormat="1" ht="20.100000000000001" customHeight="1">
      <c r="A226" s="293"/>
      <c r="B226" s="255"/>
      <c r="C226" s="256"/>
      <c r="D226" s="256"/>
      <c r="E226" s="257"/>
      <c r="F226" s="257"/>
      <c r="G226" s="258"/>
      <c r="H226" s="259"/>
      <c r="I226" s="258"/>
      <c r="J226" s="258"/>
      <c r="K226" s="258"/>
      <c r="L226" s="258"/>
      <c r="M226" s="258"/>
      <c r="N226" s="258"/>
      <c r="O226" s="260"/>
      <c r="P226" s="293"/>
    </row>
    <row r="227" spans="1:17" customFormat="1" ht="15" customHeight="1">
      <c r="A227" s="293"/>
      <c r="B227" s="123"/>
      <c r="C227" s="17"/>
      <c r="D227" s="17"/>
      <c r="E227" s="40" t="str">
        <f>IF($G$10="&lt;select&gt;"," ","Conversion to "&amp;$G$10)</f>
        <v xml:space="preserve"> </v>
      </c>
      <c r="F227" s="40"/>
      <c r="G227" s="6"/>
      <c r="H227" s="109"/>
      <c r="I227" s="44"/>
      <c r="J227" s="6"/>
      <c r="K227" s="6"/>
      <c r="L227" s="6"/>
      <c r="M227" s="6"/>
      <c r="N227" s="44"/>
      <c r="O227" s="124"/>
      <c r="P227" s="293"/>
    </row>
    <row r="228" spans="1:17" customFormat="1" ht="15" customHeight="1">
      <c r="A228" s="293"/>
      <c r="B228" s="123"/>
      <c r="C228" s="87" t="s">
        <v>435</v>
      </c>
      <c r="D228" s="88"/>
      <c r="E228" s="40" t="str">
        <f>IF($G$10="&lt;select&gt;","Conversion rate","(number of "&amp;$G$10&amp;" per unit)")</f>
        <v>Conversion rate</v>
      </c>
      <c r="F228" s="64" t="s">
        <v>248</v>
      </c>
      <c r="G228" s="6"/>
      <c r="H228" s="109"/>
      <c r="I228" s="44" t="str">
        <f>I$22</f>
        <v>Checks</v>
      </c>
      <c r="J228" s="6"/>
      <c r="K228" s="6"/>
      <c r="L228" s="6"/>
      <c r="M228" s="6"/>
      <c r="N228" s="44" t="str">
        <f>N$22</f>
        <v>Supervisor Comments</v>
      </c>
      <c r="O228" s="124"/>
      <c r="P228" s="293"/>
    </row>
    <row r="229" spans="1:17" ht="15" customHeight="1">
      <c r="A229" s="28"/>
      <c r="B229" s="125"/>
      <c r="C229" s="130" t="s">
        <v>220</v>
      </c>
      <c r="D229" s="143" t="s">
        <v>16</v>
      </c>
      <c r="E229" s="295"/>
      <c r="F229" s="262">
        <v>1151</v>
      </c>
      <c r="G229" s="6"/>
      <c r="H229" s="38" t="s">
        <v>332</v>
      </c>
      <c r="I229" s="61" t="str">
        <f>IF(ISTEXT(E229),"No text please",IF(NOT(ISNUMBER(E229)),"Please enter a rate",IF(E229&lt;0,"No negatives please",IF(E229=0,"No zeros please"," "))))</f>
        <v>Please enter a rate</v>
      </c>
      <c r="J229" s="16"/>
      <c r="K229" s="16"/>
      <c r="L229" s="16"/>
      <c r="M229" s="16"/>
      <c r="N229" s="302"/>
      <c r="O229" s="112"/>
      <c r="P229" s="28"/>
      <c r="Q229" s="28"/>
    </row>
    <row r="230" spans="1:17" ht="15" customHeight="1">
      <c r="A230" s="28"/>
      <c r="B230" s="125"/>
      <c r="C230" s="130" t="s">
        <v>221</v>
      </c>
      <c r="D230" s="144" t="s">
        <v>21</v>
      </c>
      <c r="E230" s="295"/>
      <c r="F230" s="262">
        <v>1152</v>
      </c>
      <c r="G230" s="6"/>
      <c r="H230" s="38" t="s">
        <v>333</v>
      </c>
      <c r="I230" s="61" t="str">
        <f t="shared" ref="I230:I243" si="5">IF(ISTEXT(E230),"No text please",IF(NOT(ISNUMBER(E230)),"Please enter a rate",IF(E230&lt;0,"No negatives please",IF(E230=0,"No zeros please"," "))))</f>
        <v>Please enter a rate</v>
      </c>
      <c r="J230" s="16"/>
      <c r="K230" s="16"/>
      <c r="L230" s="16"/>
      <c r="M230" s="16"/>
      <c r="N230" s="302"/>
      <c r="O230" s="112"/>
      <c r="P230" s="28"/>
    </row>
    <row r="231" spans="1:17" ht="15" customHeight="1">
      <c r="A231" s="28"/>
      <c r="B231" s="125"/>
      <c r="C231" s="130" t="s">
        <v>222</v>
      </c>
      <c r="D231" s="144" t="s">
        <v>17</v>
      </c>
      <c r="E231" s="296"/>
      <c r="F231" s="262">
        <v>1153</v>
      </c>
      <c r="G231" s="6"/>
      <c r="H231" s="38" t="s">
        <v>334</v>
      </c>
      <c r="I231" s="61" t="str">
        <f t="shared" si="5"/>
        <v>Please enter a rate</v>
      </c>
      <c r="J231" s="16"/>
      <c r="K231" s="16"/>
      <c r="L231" s="16"/>
      <c r="M231" s="16"/>
      <c r="N231" s="302"/>
      <c r="O231" s="112"/>
      <c r="P231" s="28"/>
    </row>
    <row r="232" spans="1:17" ht="15" customHeight="1">
      <c r="A232" s="28"/>
      <c r="B232" s="125"/>
      <c r="C232" s="130" t="s">
        <v>223</v>
      </c>
      <c r="D232" s="144" t="s">
        <v>19</v>
      </c>
      <c r="E232" s="295"/>
      <c r="F232" s="262">
        <v>1154</v>
      </c>
      <c r="G232" s="6"/>
      <c r="H232" s="38" t="s">
        <v>335</v>
      </c>
      <c r="I232" s="61" t="str">
        <f t="shared" si="5"/>
        <v>Please enter a rate</v>
      </c>
      <c r="J232" s="16"/>
      <c r="K232" s="16"/>
      <c r="L232" s="16"/>
      <c r="M232" s="16"/>
      <c r="N232" s="302"/>
      <c r="O232" s="112"/>
      <c r="P232" s="28"/>
    </row>
    <row r="233" spans="1:17" ht="15" customHeight="1">
      <c r="A233" s="28"/>
      <c r="B233" s="125"/>
      <c r="C233" s="130" t="s">
        <v>224</v>
      </c>
      <c r="D233" s="144" t="s">
        <v>14</v>
      </c>
      <c r="E233" s="296"/>
      <c r="F233" s="262">
        <v>1155</v>
      </c>
      <c r="G233" s="6"/>
      <c r="H233" s="38" t="s">
        <v>336</v>
      </c>
      <c r="I233" s="61" t="str">
        <f t="shared" si="5"/>
        <v>Please enter a rate</v>
      </c>
      <c r="J233" s="16"/>
      <c r="K233" s="16"/>
      <c r="L233" s="16"/>
      <c r="M233" s="16"/>
      <c r="N233" s="302"/>
      <c r="O233" s="112"/>
      <c r="P233" s="28"/>
    </row>
    <row r="234" spans="1:17" ht="15" customHeight="1">
      <c r="A234" s="28"/>
      <c r="B234" s="125"/>
      <c r="C234" s="130" t="s">
        <v>225</v>
      </c>
      <c r="D234" s="144" t="s">
        <v>11</v>
      </c>
      <c r="E234" s="296"/>
      <c r="F234" s="262">
        <v>1156</v>
      </c>
      <c r="G234" s="6"/>
      <c r="H234" s="38" t="s">
        <v>337</v>
      </c>
      <c r="I234" s="61" t="str">
        <f t="shared" si="5"/>
        <v>Please enter a rate</v>
      </c>
      <c r="J234" s="16"/>
      <c r="K234" s="16"/>
      <c r="L234" s="16"/>
      <c r="M234" s="16"/>
      <c r="N234" s="302"/>
      <c r="O234" s="112"/>
      <c r="P234" s="28"/>
    </row>
    <row r="235" spans="1:17" ht="15" customHeight="1">
      <c r="A235" s="28"/>
      <c r="B235" s="125"/>
      <c r="C235" s="130" t="s">
        <v>226</v>
      </c>
      <c r="D235" s="144" t="s">
        <v>12</v>
      </c>
      <c r="E235" s="296"/>
      <c r="F235" s="262">
        <v>1157</v>
      </c>
      <c r="G235" s="6"/>
      <c r="H235" s="38" t="s">
        <v>338</v>
      </c>
      <c r="I235" s="61" t="str">
        <f t="shared" si="5"/>
        <v>Please enter a rate</v>
      </c>
      <c r="J235" s="16"/>
      <c r="K235" s="16"/>
      <c r="L235" s="16"/>
      <c r="M235" s="16"/>
      <c r="N235" s="302"/>
      <c r="O235" s="112"/>
      <c r="P235" s="28"/>
    </row>
    <row r="236" spans="1:17" ht="15" customHeight="1">
      <c r="A236" s="28"/>
      <c r="B236" s="125"/>
      <c r="C236" s="130" t="s">
        <v>227</v>
      </c>
      <c r="D236" s="144" t="s">
        <v>15</v>
      </c>
      <c r="E236" s="296"/>
      <c r="F236" s="262">
        <v>1158</v>
      </c>
      <c r="G236" s="6"/>
      <c r="H236" s="38" t="s">
        <v>339</v>
      </c>
      <c r="I236" s="61" t="str">
        <f t="shared" si="5"/>
        <v>Please enter a rate</v>
      </c>
      <c r="J236" s="16"/>
      <c r="K236" s="16"/>
      <c r="L236" s="16"/>
      <c r="M236" s="16"/>
      <c r="N236" s="302"/>
      <c r="O236" s="112"/>
      <c r="P236" s="28"/>
    </row>
    <row r="237" spans="1:17" ht="15" customHeight="1">
      <c r="A237" s="28"/>
      <c r="B237" s="125"/>
      <c r="C237" s="130" t="s">
        <v>228</v>
      </c>
      <c r="D237" s="144" t="s">
        <v>20</v>
      </c>
      <c r="E237" s="296"/>
      <c r="F237" s="262">
        <v>1159</v>
      </c>
      <c r="G237" s="6"/>
      <c r="H237" s="38" t="s">
        <v>340</v>
      </c>
      <c r="I237" s="61" t="str">
        <f t="shared" si="5"/>
        <v>Please enter a rate</v>
      </c>
      <c r="J237" s="16"/>
      <c r="K237" s="16"/>
      <c r="L237" s="16"/>
      <c r="M237" s="16"/>
      <c r="N237" s="302"/>
      <c r="O237" s="112"/>
      <c r="P237" s="28"/>
    </row>
    <row r="238" spans="1:17" ht="15" customHeight="1">
      <c r="A238" s="28"/>
      <c r="B238" s="125"/>
      <c r="C238" s="130" t="s">
        <v>229</v>
      </c>
      <c r="D238" s="144" t="s">
        <v>13</v>
      </c>
      <c r="E238" s="296"/>
      <c r="F238" s="262">
        <v>1160</v>
      </c>
      <c r="G238" s="6"/>
      <c r="H238" s="38" t="s">
        <v>341</v>
      </c>
      <c r="I238" s="61" t="str">
        <f t="shared" si="5"/>
        <v>Please enter a rate</v>
      </c>
      <c r="J238" s="16"/>
      <c r="K238" s="16"/>
      <c r="L238" s="16"/>
      <c r="M238" s="16"/>
      <c r="N238" s="302"/>
      <c r="O238" s="112"/>
      <c r="P238" s="28"/>
    </row>
    <row r="239" spans="1:17" ht="15" customHeight="1">
      <c r="A239" s="28"/>
      <c r="B239" s="125"/>
      <c r="C239" s="130" t="s">
        <v>236</v>
      </c>
      <c r="D239" s="144" t="s">
        <v>208</v>
      </c>
      <c r="E239" s="297"/>
      <c r="F239" s="262">
        <v>1161</v>
      </c>
      <c r="G239" s="6"/>
      <c r="H239" s="38" t="s">
        <v>342</v>
      </c>
      <c r="I239" s="61" t="str">
        <f t="shared" si="5"/>
        <v>Please enter a rate</v>
      </c>
      <c r="J239" s="16"/>
      <c r="K239" s="16"/>
      <c r="L239" s="16"/>
      <c r="M239" s="16"/>
      <c r="N239" s="302"/>
      <c r="O239" s="112"/>
      <c r="P239" s="28"/>
    </row>
    <row r="240" spans="1:17" ht="15" customHeight="1">
      <c r="A240" s="28"/>
      <c r="B240" s="125"/>
      <c r="C240" s="130" t="s">
        <v>237</v>
      </c>
      <c r="D240" s="144" t="s">
        <v>209</v>
      </c>
      <c r="E240" s="296"/>
      <c r="F240" s="262">
        <v>1162</v>
      </c>
      <c r="G240" s="6"/>
      <c r="H240" s="38" t="s">
        <v>343</v>
      </c>
      <c r="I240" s="61" t="str">
        <f t="shared" si="5"/>
        <v>Please enter a rate</v>
      </c>
      <c r="J240" s="16"/>
      <c r="K240" s="16"/>
      <c r="L240" s="16"/>
      <c r="M240" s="16"/>
      <c r="N240" s="302"/>
      <c r="O240" s="112"/>
      <c r="P240" s="28"/>
    </row>
    <row r="241" spans="1:16" ht="15" customHeight="1">
      <c r="A241" s="28"/>
      <c r="B241" s="125"/>
      <c r="C241" s="130" t="s">
        <v>238</v>
      </c>
      <c r="D241" s="144" t="s">
        <v>57</v>
      </c>
      <c r="E241" s="296"/>
      <c r="F241" s="262">
        <v>1163</v>
      </c>
      <c r="G241" s="6"/>
      <c r="H241" s="38" t="s">
        <v>344</v>
      </c>
      <c r="I241" s="61" t="str">
        <f t="shared" si="5"/>
        <v>Please enter a rate</v>
      </c>
      <c r="J241" s="16"/>
      <c r="K241" s="16"/>
      <c r="L241" s="16"/>
      <c r="M241" s="16"/>
      <c r="N241" s="302"/>
      <c r="O241" s="112"/>
      <c r="P241" s="28"/>
    </row>
    <row r="242" spans="1:16" ht="15" customHeight="1">
      <c r="A242" s="28"/>
      <c r="B242" s="125"/>
      <c r="C242" s="130" t="s">
        <v>239</v>
      </c>
      <c r="D242" s="144" t="s">
        <v>43</v>
      </c>
      <c r="E242" s="296"/>
      <c r="F242" s="262">
        <v>1164</v>
      </c>
      <c r="G242" s="6"/>
      <c r="H242" s="38" t="s">
        <v>345</v>
      </c>
      <c r="I242" s="61" t="str">
        <f t="shared" si="5"/>
        <v>Please enter a rate</v>
      </c>
      <c r="J242" s="16"/>
      <c r="K242" s="16"/>
      <c r="L242" s="16"/>
      <c r="M242" s="16"/>
      <c r="N242" s="302"/>
      <c r="O242" s="112"/>
      <c r="P242" s="28"/>
    </row>
    <row r="243" spans="1:16" ht="15" customHeight="1">
      <c r="A243" s="28"/>
      <c r="B243" s="125"/>
      <c r="C243" s="130" t="s">
        <v>240</v>
      </c>
      <c r="D243" s="144" t="s">
        <v>10</v>
      </c>
      <c r="E243" s="296"/>
      <c r="F243" s="262">
        <v>1165</v>
      </c>
      <c r="G243" s="6"/>
      <c r="H243" s="38" t="s">
        <v>346</v>
      </c>
      <c r="I243" s="61" t="str">
        <f t="shared" si="5"/>
        <v>Please enter a rate</v>
      </c>
      <c r="J243" s="16"/>
      <c r="K243" s="16"/>
      <c r="L243" s="16"/>
      <c r="M243" s="16"/>
      <c r="N243" s="302"/>
      <c r="O243" s="112"/>
      <c r="P243" s="28"/>
    </row>
    <row r="244" spans="1:16" customFormat="1" ht="20.100000000000001" customHeight="1">
      <c r="A244" s="293"/>
      <c r="B244" s="126"/>
      <c r="C244" s="127"/>
      <c r="D244" s="127"/>
      <c r="E244" s="127"/>
      <c r="F244" s="261"/>
      <c r="G244" s="127"/>
      <c r="H244" s="128"/>
      <c r="I244" s="127"/>
      <c r="J244" s="127"/>
      <c r="K244" s="127"/>
      <c r="L244" s="127"/>
      <c r="M244" s="127"/>
      <c r="N244" s="127"/>
      <c r="O244" s="129"/>
      <c r="P244" s="293"/>
    </row>
    <row r="245" spans="1:16" customFormat="1" ht="20.100000000000001" customHeight="1">
      <c r="A245" s="293"/>
      <c r="B245" s="75" t="s">
        <v>207</v>
      </c>
      <c r="C245" s="76"/>
      <c r="D245" s="76"/>
      <c r="E245" s="76"/>
      <c r="F245" s="76"/>
      <c r="G245" s="76"/>
      <c r="H245" s="108"/>
      <c r="I245" s="76"/>
      <c r="J245" s="76"/>
      <c r="K245" s="76"/>
      <c r="L245" s="76"/>
      <c r="M245" s="76"/>
      <c r="N245" s="76"/>
      <c r="O245" s="77"/>
      <c r="P245" s="293"/>
    </row>
    <row r="246" spans="1:16" customFormat="1" ht="20.100000000000001" customHeight="1">
      <c r="A246" s="293"/>
      <c r="B246" s="255"/>
      <c r="C246" s="256"/>
      <c r="D246" s="256"/>
      <c r="E246" s="258"/>
      <c r="F246" s="257"/>
      <c r="G246" s="258"/>
      <c r="H246" s="259"/>
      <c r="I246" s="258"/>
      <c r="J246" s="258"/>
      <c r="K246" s="258"/>
      <c r="L246" s="258"/>
      <c r="M246" s="258"/>
      <c r="N246" s="258"/>
      <c r="O246" s="260"/>
      <c r="P246" s="293"/>
    </row>
    <row r="247" spans="1:16" customFormat="1" ht="15" customHeight="1">
      <c r="A247" s="293"/>
      <c r="B247" s="123"/>
      <c r="C247" s="17"/>
      <c r="D247" s="17"/>
      <c r="E247" s="40" t="s">
        <v>219</v>
      </c>
      <c r="F247" s="40"/>
      <c r="G247" s="42" t="s">
        <v>219</v>
      </c>
      <c r="H247" s="109"/>
      <c r="I247" s="44"/>
      <c r="J247" s="6"/>
      <c r="K247" s="6"/>
      <c r="L247" s="17"/>
      <c r="M247" s="6"/>
      <c r="N247" s="6"/>
      <c r="O247" s="124"/>
      <c r="P247" s="293"/>
    </row>
    <row r="248" spans="1:16" customFormat="1" ht="15" customHeight="1">
      <c r="A248" s="293"/>
      <c r="B248" s="123"/>
      <c r="C248" s="85" t="s">
        <v>436</v>
      </c>
      <c r="D248" s="86"/>
      <c r="E248" s="40" t="str">
        <f>IF(OR($G$10="&lt;select&gt;",ISBLANK($G$10)),"in reporting currency","in "&amp;VLOOKUP($G$14,Parameters!$E$69:$F$72,2,FALSE)&amp;$G$10)</f>
        <v>in reporting currency</v>
      </c>
      <c r="F248" s="64" t="s">
        <v>248</v>
      </c>
      <c r="G248" s="42" t="s">
        <v>218</v>
      </c>
      <c r="H248" s="109"/>
      <c r="I248" s="44" t="str">
        <f>I$22</f>
        <v>Checks</v>
      </c>
      <c r="J248" s="6"/>
      <c r="K248" s="6"/>
      <c r="L248" s="40" t="s">
        <v>249</v>
      </c>
      <c r="M248" s="6"/>
      <c r="N248" s="44" t="str">
        <f>N$22</f>
        <v>Supervisor Comments</v>
      </c>
      <c r="O248" s="124"/>
      <c r="P248" s="293"/>
    </row>
    <row r="249" spans="1:16" customFormat="1" ht="15" customHeight="1">
      <c r="A249" s="293"/>
      <c r="B249" s="123"/>
      <c r="C249" s="141" t="s">
        <v>270</v>
      </c>
      <c r="D249" s="200"/>
      <c r="E249" s="294" t="str">
        <f>IF(AND(ISNUMBER(Data!$G$46),ISNUMBER(Data!$G$11),ISNUMBER(Data!$G$14)),Data!$G$46," ")</f>
        <v xml:space="preserve"> </v>
      </c>
      <c r="F249" s="262">
        <v>1166</v>
      </c>
      <c r="G249" s="84" t="str">
        <f>IF(ISNUMBER(E249),(E249*Data!$G$14*Data!$G$11/1000000),"")</f>
        <v/>
      </c>
      <c r="H249" s="38" t="s">
        <v>347</v>
      </c>
      <c r="I249" s="61" t="str">
        <f>IF(COUNTIF(I23:I27,"&lt;&gt; ")+COUNTIF(I29:I35,"&lt;&gt; ")+COUNTIF(I39:I44,"&lt;&gt; ")=0," ","Errors detected: "&amp;COUNTIF(I23:I27,"&lt;&gt; ")+COUNTIF(I29:I35,"&lt;&gt; ")+COUNTIF(I39:I44,"&lt;&gt; "))</f>
        <v>Errors detected: 18</v>
      </c>
      <c r="J249" s="6"/>
      <c r="K249" s="6"/>
      <c r="L249" s="300"/>
      <c r="M249" s="6"/>
      <c r="N249" s="302"/>
      <c r="O249" s="124"/>
      <c r="P249" s="293"/>
    </row>
    <row r="250" spans="1:16" customFormat="1" ht="15" customHeight="1">
      <c r="A250" s="293"/>
      <c r="B250" s="123"/>
      <c r="C250" s="141" t="s">
        <v>271</v>
      </c>
      <c r="D250" s="200"/>
      <c r="E250" s="294" t="str">
        <f>IF(AND(ISNUMBER(Data!$G$66),ISNUMBER(Data!$G$11),ISNUMBER(Data!$G$14)),Data!$G$66," ")</f>
        <v xml:space="preserve"> </v>
      </c>
      <c r="F250" s="262">
        <v>1167</v>
      </c>
      <c r="G250" s="84" t="str">
        <f>IF(ISNUMBER(E250),(E250*Data!$G$14*Data!$G$11/1000000),"")</f>
        <v/>
      </c>
      <c r="H250" s="38" t="s">
        <v>348</v>
      </c>
      <c r="I250" s="61" t="str">
        <f>IF(COUNTIF(I51:I53,"&lt;&gt; ")+COUNTIF(I55:I61,"&lt;&gt; ")+COUNTIF(I63:I64,"&lt;&gt; ")=0," ","Errors detected: "&amp;COUNTIF(I51:I53,"&lt;&gt; ")+COUNTIF(I55:I61,"&lt;&gt; ")+COUNTIF(I63:I64,"&lt;&gt; "))</f>
        <v>Errors detected: 12</v>
      </c>
      <c r="J250" s="6"/>
      <c r="K250" s="6"/>
      <c r="L250" s="300"/>
      <c r="M250" s="6"/>
      <c r="N250" s="302"/>
      <c r="O250" s="124"/>
      <c r="P250" s="293"/>
    </row>
    <row r="251" spans="1:16" customFormat="1" ht="15" customHeight="1">
      <c r="A251" s="293"/>
      <c r="B251" s="123"/>
      <c r="C251" s="141" t="s">
        <v>272</v>
      </c>
      <c r="D251" s="200"/>
      <c r="E251" s="294" t="str">
        <f>IF(AND(ISNUMBER(Data!$G$76),ISNUMBER(Data!$G$11),ISNUMBER(Data!$G$14)),Data!$G$76," ")</f>
        <v xml:space="preserve"> </v>
      </c>
      <c r="F251" s="262">
        <v>1168</v>
      </c>
      <c r="G251" s="84" t="str">
        <f>IF(ISNUMBER(E251),(E251*Data!$G$14*Data!$G$11/1000000),"")</f>
        <v/>
      </c>
      <c r="H251" s="38" t="s">
        <v>349</v>
      </c>
      <c r="I251" s="61" t="str">
        <f>IF(COUNTIF(I69:I72,"&lt;&gt; ")+COUNTIF(I74:I75,"&lt;&gt; ")=0," ","Errors detected: "&amp;COUNTIF(I69:I72,"&lt;&gt; ")+COUNTIF(I74:I75,"&lt;&gt; "))</f>
        <v>Errors detected: 6</v>
      </c>
      <c r="J251" s="6"/>
      <c r="K251" s="6"/>
      <c r="L251" s="300"/>
      <c r="M251" s="6"/>
      <c r="N251" s="302"/>
      <c r="O251" s="124"/>
      <c r="P251" s="293"/>
    </row>
    <row r="252" spans="1:16" customFormat="1" ht="15" customHeight="1">
      <c r="A252" s="293"/>
      <c r="B252" s="123"/>
      <c r="C252" s="141" t="s">
        <v>273</v>
      </c>
      <c r="D252" s="200"/>
      <c r="E252" s="294" t="str">
        <f>IF(AND(ISNUMBER(Data!$G$86),ISNUMBER(Data!$G$11),ISNUMBER(Data!$G$14)),Data!$G$86," ")</f>
        <v xml:space="preserve"> </v>
      </c>
      <c r="F252" s="262">
        <v>1169</v>
      </c>
      <c r="G252" s="84" t="str">
        <f>IF(ISNUMBER(E252),(E252*Data!$G$14*Data!$G$11/1000000),"")</f>
        <v/>
      </c>
      <c r="H252" s="38" t="s">
        <v>350</v>
      </c>
      <c r="I252" s="61" t="str">
        <f>IF(COUNTIF(I79:I85,"&lt;&gt; ")=0," ","Errors detected: "&amp;COUNTIF(I79:I85,"&lt;&gt; "))</f>
        <v>Errors detected: 7</v>
      </c>
      <c r="J252" s="6"/>
      <c r="K252" s="6"/>
      <c r="L252" s="300"/>
      <c r="M252" s="6"/>
      <c r="N252" s="302"/>
      <c r="O252" s="124"/>
      <c r="P252" s="293"/>
    </row>
    <row r="253" spans="1:16" customFormat="1" ht="15" customHeight="1">
      <c r="A253" s="293"/>
      <c r="B253" s="123"/>
      <c r="C253" s="141" t="s">
        <v>274</v>
      </c>
      <c r="D253" s="200"/>
      <c r="E253" s="294" t="str">
        <f>IF(AND(ISNUMBER(Data!$G$104),ISNUMBER(Data!$G$11),ISNUMBER(Data!$G$14)),Data!$G$104," ")</f>
        <v xml:space="preserve"> </v>
      </c>
      <c r="F253" s="262">
        <v>1170</v>
      </c>
      <c r="G253" s="84" t="str">
        <f>IF(ISNUMBER(E253),(E253*Data!$G$14*Data!$G$11/1000000),"")</f>
        <v/>
      </c>
      <c r="H253" s="38" t="s">
        <v>351</v>
      </c>
      <c r="I253" s="61" t="str">
        <f>IF(COUNTIF(I92:I103,"&lt;&gt; ")=0," ","Errors detected: "&amp;COUNTIF(I92:I103,"&lt;&gt; "))</f>
        <v>Errors detected: 12</v>
      </c>
      <c r="J253" s="6"/>
      <c r="K253" s="6"/>
      <c r="L253" s="300"/>
      <c r="M253" s="6"/>
      <c r="N253" s="302"/>
      <c r="O253" s="124"/>
      <c r="P253" s="293"/>
    </row>
    <row r="254" spans="1:16" customFormat="1" ht="15" customHeight="1">
      <c r="A254" s="293"/>
      <c r="B254" s="123"/>
      <c r="C254" s="141" t="s">
        <v>275</v>
      </c>
      <c r="D254" s="200"/>
      <c r="E254" s="294" t="str">
        <f>IF(AND(Data!$I$108=" ",ISNUMBER(Data!$G$11),ISNUMBER(Data!$G$14)),Data!$G$108," ")</f>
        <v xml:space="preserve"> </v>
      </c>
      <c r="F254" s="262">
        <v>1171</v>
      </c>
      <c r="G254" s="84" t="str">
        <f>IF(ISNUMBER(E254),(E254*Data!$G$14*Data!$G$11/1000000),"")</f>
        <v/>
      </c>
      <c r="H254" s="38" t="s">
        <v>352</v>
      </c>
      <c r="I254" s="61" t="str">
        <f>IF(COUNTIF(I108,"&lt;&gt; ")=0," ","Errors detected: "&amp;COUNTIF(I108,"&lt;&gt; "))</f>
        <v>Errors detected: 1</v>
      </c>
      <c r="J254" s="6"/>
      <c r="K254" s="6"/>
      <c r="L254" s="300"/>
      <c r="M254" s="6"/>
      <c r="N254" s="302"/>
      <c r="O254" s="124"/>
      <c r="P254" s="293"/>
    </row>
    <row r="255" spans="1:16" customFormat="1" ht="15" customHeight="1">
      <c r="A255" s="293"/>
      <c r="B255" s="123"/>
      <c r="C255" s="141" t="s">
        <v>276</v>
      </c>
      <c r="D255" s="200"/>
      <c r="E255" s="294" t="str">
        <f>IF(AND(ISNUMBER(Data!$G$113),ISNUMBER(Data!$G$11),ISNUMBER(Data!$G$14)),Data!$G$113," ")</f>
        <v xml:space="preserve"> </v>
      </c>
      <c r="F255" s="262">
        <v>1172</v>
      </c>
      <c r="G255" s="84" t="str">
        <f>IF(ISNUMBER(E255),(E255*Data!$G$14*Data!$G$11/1000000),"")</f>
        <v/>
      </c>
      <c r="H255" s="38" t="s">
        <v>353</v>
      </c>
      <c r="I255" s="61" t="str">
        <f>IF(COUNTIF(I111:I112,"&lt;&gt; ")=0," ","Errors detected: "&amp;COUNTIF(I111:I112,"&lt;&gt; "))</f>
        <v>Errors detected: 2</v>
      </c>
      <c r="J255" s="6"/>
      <c r="K255" s="6"/>
      <c r="L255" s="300"/>
      <c r="M255" s="6"/>
      <c r="N255" s="302"/>
      <c r="O255" s="124"/>
      <c r="P255" s="293"/>
    </row>
    <row r="256" spans="1:16" customFormat="1" ht="15" customHeight="1">
      <c r="A256" s="293"/>
      <c r="B256" s="123"/>
      <c r="C256" s="141" t="s">
        <v>277</v>
      </c>
      <c r="D256" s="200"/>
      <c r="E256" s="294" t="str">
        <f>IF(AND(ISNUMBER(Data!$G$120),ISNUMBER(Data!$G$11),ISNUMBER(Data!$G$14)),Data!$G$120," ")</f>
        <v xml:space="preserve"> </v>
      </c>
      <c r="F256" s="262">
        <v>1173</v>
      </c>
      <c r="G256" s="84" t="str">
        <f>IF(ISNUMBER(E256),(E256*Data!$G$14*Data!$G$11/1000000),"")</f>
        <v/>
      </c>
      <c r="H256" s="38" t="s">
        <v>354</v>
      </c>
      <c r="I256" s="61" t="str">
        <f>IF(COUNTIF(I118:I119,"&lt;&gt; ")=0," ","Errors detected: "&amp;COUNTIF(I118:I119,"&lt;&gt; "))</f>
        <v>Errors detected: 2</v>
      </c>
      <c r="J256" s="6"/>
      <c r="K256" s="6"/>
      <c r="L256" s="300"/>
      <c r="M256" s="6"/>
      <c r="N256" s="302"/>
      <c r="O256" s="124"/>
      <c r="P256" s="293"/>
    </row>
    <row r="257" spans="1:16" customFormat="1" ht="15" customHeight="1">
      <c r="A257" s="293"/>
      <c r="B257" s="123"/>
      <c r="C257" s="141" t="s">
        <v>278</v>
      </c>
      <c r="D257" s="200"/>
      <c r="E257" s="294" t="str">
        <f>IF(AND(ISNUMBER(Data!$G$127),ISNUMBER(Data!$G$11),ISNUMBER(Data!$G$14)),Data!$G$127," ")</f>
        <v xml:space="preserve"> </v>
      </c>
      <c r="F257" s="262">
        <v>1174</v>
      </c>
      <c r="G257" s="84" t="str">
        <f>IF(ISNUMBER(E257),(E257*Data!$G$14*Data!$G$11/1000000),"")</f>
        <v/>
      </c>
      <c r="H257" s="38" t="s">
        <v>355</v>
      </c>
      <c r="I257" s="61" t="str">
        <f>IF(COUNTIF(I123:I126,"&lt;&gt; ")=0," ","Errors detected: "&amp;COUNTIF(I123:I126,"&lt;&gt; "))</f>
        <v>Errors detected: 4</v>
      </c>
      <c r="J257" s="6"/>
      <c r="K257" s="6"/>
      <c r="L257" s="300"/>
      <c r="M257" s="6"/>
      <c r="N257" s="302"/>
      <c r="O257" s="124"/>
      <c r="P257" s="293"/>
    </row>
    <row r="258" spans="1:16" customFormat="1" ht="15" customHeight="1">
      <c r="A258" s="293"/>
      <c r="B258" s="123"/>
      <c r="C258" s="141" t="s">
        <v>279</v>
      </c>
      <c r="D258" s="200"/>
      <c r="E258" s="294" t="str">
        <f>IF(AND(Data!$I$130=" ",ISNUMBER(Data!$G$11),ISNUMBER(Data!$G$14)),Data!$G$130," ")</f>
        <v xml:space="preserve"> </v>
      </c>
      <c r="F258" s="262">
        <v>1175</v>
      </c>
      <c r="G258" s="84" t="str">
        <f>IF(ISNUMBER(E258),(E258*Data!$G$14*Data!$G$11/1000000),"")</f>
        <v/>
      </c>
      <c r="H258" s="38" t="s">
        <v>356</v>
      </c>
      <c r="I258" s="61" t="str">
        <f>IF(COUNTIF(I130,"&lt;&gt; ")=0," ","Errors detected: "&amp;COUNTIF(I130,"&lt;&gt; "))</f>
        <v>Errors detected: 1</v>
      </c>
      <c r="J258" s="6"/>
      <c r="K258" s="6"/>
      <c r="L258" s="300"/>
      <c r="M258" s="6"/>
      <c r="N258" s="302"/>
      <c r="O258" s="124"/>
      <c r="P258" s="293"/>
    </row>
    <row r="259" spans="1:16" customFormat="1" ht="15" customHeight="1">
      <c r="A259" s="293"/>
      <c r="B259" s="123"/>
      <c r="C259" s="141" t="s">
        <v>280</v>
      </c>
      <c r="D259" s="200"/>
      <c r="E259" s="294" t="str">
        <f>IF(AND(Data!$I$135=" ",ISNUMBER(Data!$G$11),ISNUMBER(Data!$G$14)),$G$135," ")</f>
        <v xml:space="preserve"> </v>
      </c>
      <c r="F259" s="262">
        <v>1176</v>
      </c>
      <c r="G259" s="84" t="str">
        <f>IF(ISNUMBER(E259),(E259*Data!$G$14*Data!$G$11/1000000),"")</f>
        <v/>
      </c>
      <c r="H259" s="38" t="s">
        <v>357</v>
      </c>
      <c r="I259" s="61" t="str">
        <f>IF(COUNTIF(I135,"&lt;&gt; ")=0," ","Errors detected: "&amp;COUNTIF(I135,"&lt;&gt; "))</f>
        <v>Errors detected: 1</v>
      </c>
      <c r="J259" s="6"/>
      <c r="K259" s="6"/>
      <c r="L259" s="300"/>
      <c r="M259" s="6"/>
      <c r="N259" s="302"/>
      <c r="O259" s="124"/>
      <c r="P259" s="293"/>
    </row>
    <row r="260" spans="1:16" customFormat="1" ht="15" customHeight="1">
      <c r="A260" s="293"/>
      <c r="B260" s="123"/>
      <c r="C260" s="141" t="s">
        <v>281</v>
      </c>
      <c r="D260" s="200"/>
      <c r="E260" s="294" t="str">
        <f>IF(AND(ISNUMBER(Data!$G$141),ISNUMBER(Data!$G$11),ISNUMBER(Data!$G$14)),Data!$G$141," ")</f>
        <v xml:space="preserve"> </v>
      </c>
      <c r="F260" s="262">
        <v>1177</v>
      </c>
      <c r="G260" s="84" t="str">
        <f>IF(ISNUMBER(E260),(E260*Data!$G$14*Data!$G$11/1000000),"")</f>
        <v/>
      </c>
      <c r="H260" s="38" t="s">
        <v>358</v>
      </c>
      <c r="I260" s="61" t="str">
        <f>IF(COUNTIF(I138:I140,"&lt;&gt; ")=0," ","Errors detected: "&amp;COUNTIF(I138:I140,"&lt;&gt; "))</f>
        <v>Errors detected: 3</v>
      </c>
      <c r="J260" s="6"/>
      <c r="K260" s="6"/>
      <c r="L260" s="300"/>
      <c r="M260" s="6"/>
      <c r="N260" s="302"/>
      <c r="O260" s="124"/>
      <c r="P260" s="293"/>
    </row>
    <row r="261" spans="1:16" customFormat="1" ht="15" customHeight="1">
      <c r="A261" s="293"/>
      <c r="B261" s="123"/>
      <c r="C261" s="68" t="s">
        <v>268</v>
      </c>
      <c r="D261" s="145"/>
      <c r="E261" s="48"/>
      <c r="F261" s="48"/>
      <c r="G261" s="48"/>
      <c r="H261" s="38"/>
      <c r="I261" s="48"/>
      <c r="J261" s="6"/>
      <c r="K261" s="6"/>
      <c r="L261" s="6"/>
      <c r="M261" s="6"/>
      <c r="N261" s="6"/>
      <c r="O261" s="124"/>
      <c r="P261" s="293"/>
    </row>
    <row r="262" spans="1:16" customFormat="1" ht="15" customHeight="1">
      <c r="A262" s="293"/>
      <c r="B262" s="123"/>
      <c r="C262" s="263" t="s">
        <v>300</v>
      </c>
      <c r="D262" s="145"/>
      <c r="E262" s="48"/>
      <c r="F262" s="48"/>
      <c r="G262" s="48"/>
      <c r="H262" s="38" t="s">
        <v>359</v>
      </c>
      <c r="I262" s="61" t="str">
        <f>IF(COUNTIF(I7:I10,"&lt;&gt; ")+COUNTIF(I12,"&lt;&gt; ")=0," ","Errors detected: "&amp;COUNTIF(I7:I10,"&lt;&gt; ")+COUNTIF(I12,"&lt;&gt; "))</f>
        <v>Errors detected: 5</v>
      </c>
      <c r="J262" s="6"/>
      <c r="K262" s="6"/>
      <c r="L262" s="6"/>
      <c r="M262" s="6"/>
      <c r="N262" s="6"/>
      <c r="O262" s="124"/>
      <c r="P262" s="293"/>
    </row>
    <row r="263" spans="1:16" customFormat="1" ht="15" customHeight="1">
      <c r="A263" s="293"/>
      <c r="B263" s="123"/>
      <c r="C263" s="263" t="s">
        <v>283</v>
      </c>
      <c r="D263" s="145"/>
      <c r="E263" s="48"/>
      <c r="F263" s="48"/>
      <c r="G263" s="48"/>
      <c r="H263" s="38" t="s">
        <v>360</v>
      </c>
      <c r="I263" s="61" t="str">
        <f>IF(COUNTIF(I14:I18,"&lt;&gt; ")=0," ","Errors detected: "&amp;COUNTIF(I14:I18,"&lt;&gt; "))</f>
        <v>Errors detected: 5</v>
      </c>
      <c r="J263" s="6"/>
      <c r="K263" s="6"/>
      <c r="L263" s="6"/>
      <c r="M263" s="6"/>
      <c r="N263" s="6"/>
      <c r="O263" s="124"/>
      <c r="P263" s="293"/>
    </row>
    <row r="264" spans="1:16" customFormat="1" ht="15" customHeight="1">
      <c r="A264" s="293"/>
      <c r="B264" s="123"/>
      <c r="C264" s="263" t="s">
        <v>282</v>
      </c>
      <c r="D264" s="145"/>
      <c r="E264" s="48"/>
      <c r="F264" s="48"/>
      <c r="G264" s="48"/>
      <c r="H264" s="38" t="s">
        <v>361</v>
      </c>
      <c r="I264" s="61" t="str">
        <f>IF(COUNTIF(I146:I147,"&lt;&gt; ")+COUNTIF(I149:I155,"&lt;&gt; ")+COUNTIF(I158,"&lt;&gt; ")=0," ","Errors detected: "&amp;COUNTIF(I146:I147,"&lt;&gt; ")+COUNTIF(I149:I155,"&lt;&gt; ")+COUNTIF(I158,"&lt;&gt; "))</f>
        <v>Errors detected: 10</v>
      </c>
      <c r="J264" s="6"/>
      <c r="K264" s="6"/>
      <c r="L264" s="6"/>
      <c r="M264" s="6"/>
      <c r="N264" s="6"/>
      <c r="O264" s="124"/>
      <c r="P264" s="293"/>
    </row>
    <row r="265" spans="1:16" customFormat="1" ht="15" customHeight="1">
      <c r="A265" s="293"/>
      <c r="B265" s="123"/>
      <c r="C265" s="263" t="s">
        <v>406</v>
      </c>
      <c r="D265" s="145"/>
      <c r="E265" s="48"/>
      <c r="F265" s="48"/>
      <c r="G265" s="48"/>
      <c r="H265" s="38" t="s">
        <v>362</v>
      </c>
      <c r="I265" s="61" t="str">
        <f>IF(COUNTIF(I161:I165,"&lt;&gt; ")+COUNTIF(I169:I171,"&lt;&gt; ")=0," ","Errors detected: "&amp;COUNTIF(I161:I165,"&lt;&gt; ")+COUNTIF(I169:I171,"&lt;&gt; "))</f>
        <v>Errors detected: 8</v>
      </c>
      <c r="J265" s="6"/>
      <c r="K265" s="6"/>
      <c r="L265" s="6"/>
      <c r="M265" s="6"/>
      <c r="N265" s="6"/>
      <c r="O265" s="124"/>
      <c r="P265" s="293"/>
    </row>
    <row r="266" spans="1:16" customFormat="1" ht="15" customHeight="1">
      <c r="A266" s="293"/>
      <c r="B266" s="123"/>
      <c r="C266" s="263" t="s">
        <v>407</v>
      </c>
      <c r="D266" s="145"/>
      <c r="E266" s="48"/>
      <c r="F266" s="48"/>
      <c r="G266" s="48"/>
      <c r="H266" s="38" t="s">
        <v>363</v>
      </c>
      <c r="I266" s="61" t="str">
        <f>IF(COUNTIF(I176:I182,"Comment required")&lt;&gt;0,"Errors detected: "&amp;COUNTIF(I176:I182,"Comment required"),IF(COUNTIF(I176:I182,"&lt;&gt; ")=0," ","Warnings detected: "&amp;COUNTIF(I176:I182,"&lt;&gt; ")))</f>
        <v>Errors detected: 7</v>
      </c>
      <c r="J266" s="6"/>
      <c r="K266" s="6"/>
      <c r="L266" s="6"/>
      <c r="M266" s="6"/>
      <c r="N266" s="6"/>
      <c r="O266" s="124"/>
      <c r="P266" s="293"/>
    </row>
    <row r="267" spans="1:16" customFormat="1" ht="15" customHeight="1">
      <c r="A267" s="293"/>
      <c r="B267" s="123"/>
      <c r="C267" s="263" t="s">
        <v>408</v>
      </c>
      <c r="D267" s="145"/>
      <c r="E267" s="48"/>
      <c r="F267" s="48"/>
      <c r="G267" s="48"/>
      <c r="H267" s="38" t="s">
        <v>412</v>
      </c>
      <c r="I267" s="61" t="str">
        <f>IF(COUNTIF(I185:I187,"Comment required")&lt;&gt;0,"Errors detected: "&amp;COUNTIF(I185:I187,"Comment required"),IF(COUNTIF(I185:I187,"&lt;&gt; ")=0," ","Warnings detected: "&amp;COUNTIF(I185:I187,"&lt;&gt; ")))</f>
        <v>Errors detected: 3</v>
      </c>
      <c r="J267" s="6"/>
      <c r="K267" s="6"/>
      <c r="L267" s="6"/>
      <c r="M267" s="6"/>
      <c r="N267" s="6"/>
      <c r="O267" s="124"/>
      <c r="P267" s="293"/>
    </row>
    <row r="268" spans="1:16" customFormat="1" ht="15" customHeight="1">
      <c r="A268" s="293"/>
      <c r="B268" s="123"/>
      <c r="C268" s="263" t="s">
        <v>409</v>
      </c>
      <c r="D268" s="145"/>
      <c r="E268" s="48"/>
      <c r="F268" s="48"/>
      <c r="G268" s="48"/>
      <c r="H268" s="38" t="s">
        <v>413</v>
      </c>
      <c r="I268" s="61" t="str">
        <f>IF(COUNTIF(I191:I215,"Comment required")&lt;&gt;0,"Errors detected: "&amp;COUNTIF(I191:I215,"Comment required"),IF(COUNTIF(I191:I215,"&lt;&gt; ")=0," ","Warnings detected: "&amp;COUNTIF(I191:I215,"&lt;&gt; ")))</f>
        <v>Errors detected: 25</v>
      </c>
      <c r="J268" s="6"/>
      <c r="K268" s="6"/>
      <c r="L268" s="6"/>
      <c r="M268" s="6"/>
      <c r="N268" s="6"/>
      <c r="O268" s="124"/>
      <c r="P268" s="293"/>
    </row>
    <row r="269" spans="1:16" customFormat="1" ht="15" customHeight="1">
      <c r="A269" s="293"/>
      <c r="B269" s="123"/>
      <c r="C269" s="263" t="s">
        <v>410</v>
      </c>
      <c r="D269" s="145"/>
      <c r="E269" s="48"/>
      <c r="F269" s="48"/>
      <c r="G269" s="48"/>
      <c r="H269" s="38" t="s">
        <v>414</v>
      </c>
      <c r="I269" s="61" t="str">
        <f>IF(COUNTIF(I218:I222,"Comment required")&lt;&gt;0,"Errors detected: "&amp;COUNTIF(I218:I222,"Comment required"),IF(COUNTIF(I218:I222,"&lt;&gt; ")=0," ","Warnings detected: "&amp;COUNTIF(I218:I222,"&lt;&gt; ")))</f>
        <v>Errors detected: 5</v>
      </c>
      <c r="J269" s="6"/>
      <c r="K269" s="6"/>
      <c r="L269" s="6"/>
      <c r="M269" s="6"/>
      <c r="N269" s="6"/>
      <c r="O269" s="124"/>
      <c r="P269" s="293"/>
    </row>
    <row r="270" spans="1:16" customFormat="1" ht="15" customHeight="1">
      <c r="A270" s="293"/>
      <c r="B270" s="123"/>
      <c r="C270" s="263" t="s">
        <v>411</v>
      </c>
      <c r="D270" s="145"/>
      <c r="E270" s="48"/>
      <c r="F270" s="48"/>
      <c r="G270" s="48"/>
      <c r="H270" s="38" t="s">
        <v>415</v>
      </c>
      <c r="I270" s="61" t="str">
        <f>IF(COUNTIF(I229:I243,"&lt;&gt; ")=0," ","Errors detected: "&amp;COUNTIF(I229:I243,"&lt;&gt; "))</f>
        <v>Errors detected: 15</v>
      </c>
      <c r="J270" s="6"/>
      <c r="K270" s="6"/>
      <c r="L270" s="6"/>
      <c r="M270" s="6"/>
      <c r="N270" s="6"/>
      <c r="O270" s="124"/>
      <c r="P270" s="293"/>
    </row>
    <row r="271" spans="1:16" customFormat="1" ht="20.100000000000001" customHeight="1">
      <c r="A271" s="293"/>
      <c r="B271" s="126"/>
      <c r="C271" s="127"/>
      <c r="D271" s="127"/>
      <c r="E271" s="127"/>
      <c r="F271" s="127"/>
      <c r="G271" s="127"/>
      <c r="H271" s="128"/>
      <c r="I271" s="127"/>
      <c r="J271" s="127"/>
      <c r="K271" s="127"/>
      <c r="L271" s="127"/>
      <c r="M271" s="127"/>
      <c r="N271" s="127"/>
      <c r="O271" s="129"/>
      <c r="P271" s="293"/>
    </row>
    <row r="272" spans="1:16" ht="15" customHeight="1">
      <c r="A272" s="28"/>
      <c r="B272" s="291"/>
      <c r="C272" s="17"/>
      <c r="D272" s="17"/>
      <c r="E272" s="293"/>
      <c r="F272" s="293"/>
      <c r="G272" s="17"/>
      <c r="H272" s="197"/>
      <c r="I272" s="17"/>
      <c r="J272" s="28"/>
      <c r="K272" s="16"/>
      <c r="L272" s="17"/>
      <c r="M272" s="28"/>
      <c r="N272" s="17"/>
      <c r="O272" s="16"/>
      <c r="P272" s="28"/>
    </row>
  </sheetData>
  <sheetProtection password="D9BE" sheet="1" objects="1" scenarios="1"/>
  <mergeCells count="15">
    <mergeCell ref="G167:G168"/>
    <mergeCell ref="D189:D190"/>
    <mergeCell ref="E189:E190"/>
    <mergeCell ref="G189:G190"/>
    <mergeCell ref="C2:E2"/>
    <mergeCell ref="C36:E37"/>
    <mergeCell ref="C65:E66"/>
    <mergeCell ref="C45:E46"/>
    <mergeCell ref="D167:D168"/>
    <mergeCell ref="E167:E168"/>
    <mergeCell ref="C104:E104"/>
    <mergeCell ref="D90:D91"/>
    <mergeCell ref="G90:G91"/>
    <mergeCell ref="C90:C91"/>
    <mergeCell ref="E90:E91"/>
  </mergeCells>
  <phoneticPr fontId="5" type="noConversion"/>
  <conditionalFormatting sqref="G7:G8 G12">
    <cfRule type="containsText" priority="123" stopIfTrue="1" operator="containsText" text="&lt;select&gt;">
      <formula>NOT(ISERROR(SEARCH("&lt;select&gt;",G7)))</formula>
    </cfRule>
  </conditionalFormatting>
  <conditionalFormatting sqref="G7:G8 G12">
    <cfRule type="containsBlanks" priority="126" stopIfTrue="1">
      <formula>LEN(TRIM(G7))=0</formula>
    </cfRule>
  </conditionalFormatting>
  <conditionalFormatting sqref="I23:I27 I29:I35 I39:I44 I7:I10 I12">
    <cfRule type="cellIs" dxfId="31" priority="8" stopIfTrue="1" operator="notEqual">
      <formula>" "</formula>
    </cfRule>
  </conditionalFormatting>
  <conditionalFormatting sqref="I51:I53 I55:I61 I63:I64">
    <cfRule type="cellIs" dxfId="30" priority="9" stopIfTrue="1" operator="notEqual">
      <formula>" "</formula>
    </cfRule>
  </conditionalFormatting>
  <conditionalFormatting sqref="I69:I72 I74:I75">
    <cfRule type="cellIs" dxfId="29" priority="10" stopIfTrue="1" operator="notEqual">
      <formula>" "</formula>
    </cfRule>
  </conditionalFormatting>
  <conditionalFormatting sqref="I79:I85">
    <cfRule type="cellIs" dxfId="28" priority="13" stopIfTrue="1" operator="notEqual">
      <formula>" "</formula>
    </cfRule>
  </conditionalFormatting>
  <conditionalFormatting sqref="I92:I103">
    <cfRule type="cellIs" dxfId="27" priority="14" stopIfTrue="1" operator="notEqual">
      <formula>" "</formula>
    </cfRule>
  </conditionalFormatting>
  <conditionalFormatting sqref="I111:I112">
    <cfRule type="cellIs" dxfId="26" priority="16" stopIfTrue="1" operator="notEqual">
      <formula>" "</formula>
    </cfRule>
  </conditionalFormatting>
  <conditionalFormatting sqref="I118:I119">
    <cfRule type="cellIs" dxfId="25" priority="17" stopIfTrue="1" operator="notEqual">
      <formula>" "</formula>
    </cfRule>
  </conditionalFormatting>
  <conditionalFormatting sqref="I123:I126">
    <cfRule type="cellIs" dxfId="24" priority="18" stopIfTrue="1" operator="notEqual">
      <formula>" "</formula>
    </cfRule>
  </conditionalFormatting>
  <conditionalFormatting sqref="I130">
    <cfRule type="cellIs" dxfId="23" priority="19" stopIfTrue="1" operator="notEqual">
      <formula>" "</formula>
    </cfRule>
  </conditionalFormatting>
  <conditionalFormatting sqref="I138:I140">
    <cfRule type="cellIs" dxfId="22" priority="27" stopIfTrue="1" operator="notEqual">
      <formula>" "</formula>
    </cfRule>
  </conditionalFormatting>
  <conditionalFormatting sqref="I146:I147 I149:I155">
    <cfRule type="cellIs" dxfId="21" priority="34" stopIfTrue="1" operator="notEqual">
      <formula>" "</formula>
    </cfRule>
  </conditionalFormatting>
  <conditionalFormatting sqref="I158">
    <cfRule type="cellIs" dxfId="20" priority="36" stopIfTrue="1" operator="notEqual">
      <formula>" "</formula>
    </cfRule>
  </conditionalFormatting>
  <conditionalFormatting sqref="I229:I243">
    <cfRule type="cellIs" dxfId="19" priority="119" stopIfTrue="1" operator="notEqual">
      <formula>" "</formula>
    </cfRule>
  </conditionalFormatting>
  <conditionalFormatting sqref="G16">
    <cfRule type="containsText" priority="223" stopIfTrue="1" operator="containsText" text="&lt;select&gt;">
      <formula>NOT(ISERROR(SEARCH("&lt;select&gt;",G16)))</formula>
    </cfRule>
  </conditionalFormatting>
  <conditionalFormatting sqref="G16">
    <cfRule type="containsBlanks" priority="374" stopIfTrue="1">
      <formula>LEN(TRIM(G16))=0</formula>
    </cfRule>
  </conditionalFormatting>
  <conditionalFormatting sqref="I14:I18">
    <cfRule type="cellIs" dxfId="18" priority="7" stopIfTrue="1" operator="notEqual">
      <formula>" "</formula>
    </cfRule>
  </conditionalFormatting>
  <conditionalFormatting sqref="I135">
    <cfRule type="cellIs" dxfId="17" priority="23" stopIfTrue="1" operator="notEqual">
      <formula>" "</formula>
    </cfRule>
  </conditionalFormatting>
  <conditionalFormatting sqref="I108">
    <cfRule type="cellIs" dxfId="16" priority="15" stopIfTrue="1" operator="notEqual">
      <formula>" "</formula>
    </cfRule>
  </conditionalFormatting>
  <conditionalFormatting sqref="I169:I171">
    <cfRule type="cellIs" dxfId="15" priority="52" stopIfTrue="1" operator="notEqual">
      <formula>" "</formula>
    </cfRule>
  </conditionalFormatting>
  <conditionalFormatting sqref="I249:I260 I262:I270">
    <cfRule type="cellIs" dxfId="14" priority="121" stopIfTrue="1" operator="notEqual">
      <formula>" "</formula>
    </cfRule>
  </conditionalFormatting>
  <conditionalFormatting sqref="I161:I165">
    <cfRule type="cellIs" dxfId="13" priority="37" stopIfTrue="1" operator="notEqual">
      <formula>" "</formula>
    </cfRule>
  </conditionalFormatting>
  <conditionalFormatting sqref="I176:I182">
    <cfRule type="containsText" dxfId="12" priority="53" stopIfTrue="1" operator="containsText" text="Comment required">
      <formula>NOT(ISERROR(SEARCH("Comment required",I176)))</formula>
    </cfRule>
    <cfRule type="cellIs" dxfId="11" priority="54" stopIfTrue="1" operator="notEqual">
      <formula>" "</formula>
    </cfRule>
  </conditionalFormatting>
  <conditionalFormatting sqref="I185:I187">
    <cfRule type="containsText" dxfId="10" priority="101" stopIfTrue="1" operator="containsText" text="Comment required">
      <formula>NOT(ISERROR(SEARCH("Comment required",I185)))</formula>
    </cfRule>
    <cfRule type="cellIs" dxfId="9" priority="102" stopIfTrue="1" operator="notEqual">
      <formula>" "</formula>
    </cfRule>
  </conditionalFormatting>
  <conditionalFormatting sqref="I191:I215">
    <cfRule type="containsText" dxfId="8" priority="103" stopIfTrue="1" operator="containsText" text="Comment required">
      <formula>NOT(ISERROR(SEARCH("Comment required",I191)))</formula>
    </cfRule>
    <cfRule type="cellIs" dxfId="7" priority="106" stopIfTrue="1" operator="notEqual">
      <formula>" "</formula>
    </cfRule>
  </conditionalFormatting>
  <conditionalFormatting sqref="I218:I222">
    <cfRule type="containsText" dxfId="6" priority="109" stopIfTrue="1" operator="containsText" text="Comment required">
      <formula>NOT(ISERROR(SEARCH("Comment required",I218)))</formula>
    </cfRule>
    <cfRule type="cellIs" dxfId="5" priority="111" stopIfTrue="1" operator="notEqual">
      <formula>" "</formula>
    </cfRule>
  </conditionalFormatting>
  <conditionalFormatting sqref="I266:I269">
    <cfRule type="containsText" dxfId="4" priority="6" stopIfTrue="1" operator="containsText" text="Warnings detected">
      <formula>NOT(ISERROR(SEARCH("Warnings detected",I266)))</formula>
    </cfRule>
  </conditionalFormatting>
  <conditionalFormatting sqref="L118:L119 L111:L112 L108 L92:L103 L79:L85 L74:L75 L69:L72 L63:L64 L55:L61 L51:L53 L39:L44 L29:L35 L23:L27 L16:L18">
    <cfRule type="expression" dxfId="3" priority="4" stopIfTrue="1">
      <formula>LEN(L16)&gt;56</formula>
    </cfRule>
  </conditionalFormatting>
  <conditionalFormatting sqref="L249:L260 L218:L222 L191:L215 L185:L187 L169:L171 L161:L165 L158 L149:L155 L146:L147 L138:L140 L135 L130 L123:L126 L176:L182">
    <cfRule type="expression" dxfId="2" priority="3" stopIfTrue="1">
      <formula>LEN(L123)&gt;56</formula>
    </cfRule>
  </conditionalFormatting>
  <conditionalFormatting sqref="N118:N119 N111:N112 N108 N92:N103 N79:N85 N74:N75 N69:N72 N63:N64 N55:N61 N51:N53 N39:N44 N29:N35 N23:N27 N16:N18">
    <cfRule type="expression" dxfId="1" priority="2" stopIfTrue="1">
      <formula>LEN(N16)&gt;30</formula>
    </cfRule>
  </conditionalFormatting>
  <conditionalFormatting sqref="N249:N260 N229:N243 N218:N222 N191:N215 N185:N187 N176:N182 N169:N171 N161:N165 N158 N149:N155 N146:N147 N138:N140 N135 N130 N123:N126">
    <cfRule type="expression" dxfId="0" priority="1" stopIfTrue="1">
      <formula>LEN(N123)&gt;30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29:K35 K146:K147 K69:K72 K63:K64 K79:K85 K92:K103 K55:K61 K118:K119 K123:K126 K130 K138:K140 K108 K158 K23:K27 K39:K44 K74:K75 K51:K53 K111:K112 K135 K191:K215 K149:K155 K169:K171 K218:K222 K185:K187 K161:K165 K176:K182">
      <formula1>ChecksResponses</formula1>
    </dataValidation>
    <dataValidation type="list" allowBlank="1" showInputMessage="1" showErrorMessage="1" sqref="G9">
      <formula1>ReportingDate</formula1>
    </dataValidation>
  </dataValidations>
  <printOptions horizontalCentered="1" verticalCentered="1"/>
  <pageMargins left="0.39370078740157499" right="0.39370078740157499" top="0.78740157480314998" bottom="0.78740157480314998" header="0.39370078740157499" footer="0.39370078740157499"/>
  <pageSetup paperSize="9" scale="54" fitToHeight="5" orientation="landscape" r:id="rId1"/>
  <headerFooter alignWithMargins="0">
    <oddHeader>&amp;L&amp;"Arial,Bold"&amp;16Basel Committee on Banking Supervision&amp;C&amp;16&amp;F&amp;R&amp;"Arial,Bold"&amp;16Confidential</oddHeader>
    <oddFooter>&amp;L&amp;16&amp;D  &amp;T&amp;R&amp;16Page &amp;P of &amp;N</oddFooter>
  </headerFooter>
  <rowBreaks count="5" manualBreakCount="5">
    <brk id="47" min="1" max="12" man="1"/>
    <brk id="87" min="1" max="12" man="1"/>
    <brk id="131" min="1" max="12" man="1"/>
    <brk id="172" min="1" max="14" man="1"/>
    <brk id="224" min="1" max="12" man="1"/>
  </rowBreaks>
  <ignoredErrors>
    <ignoredError sqref="I179 I181 I164 I8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17"/>
  <sheetViews>
    <sheetView topLeftCell="A58" zoomScale="85" zoomScaleNormal="85" workbookViewId="0">
      <selection activeCell="C83" sqref="C83"/>
    </sheetView>
  </sheetViews>
  <sheetFormatPr defaultColWidth="11.42578125" defaultRowHeight="12.75"/>
  <cols>
    <col min="1" max="2" width="5.7109375" style="1" customWidth="1"/>
    <col min="3" max="3" width="40.7109375" style="1" customWidth="1"/>
    <col min="4" max="4" width="10.7109375" style="1" customWidth="1"/>
    <col min="5" max="9" width="12.7109375" style="1" customWidth="1"/>
    <col min="10" max="10" width="5.710937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49" t="s">
        <v>0</v>
      </c>
      <c r="D1" s="150"/>
      <c r="E1" s="150"/>
      <c r="F1" s="150"/>
      <c r="G1" s="150"/>
      <c r="H1" s="150"/>
      <c r="I1" s="150"/>
      <c r="J1" s="150"/>
    </row>
    <row r="2" spans="2:11" s="4" customFormat="1" ht="20.100000000000001" customHeight="1">
      <c r="B2" s="151" t="s">
        <v>1</v>
      </c>
      <c r="C2" s="76"/>
      <c r="D2" s="152"/>
      <c r="E2" s="152"/>
      <c r="F2" s="152"/>
      <c r="G2" s="152"/>
      <c r="H2" s="152"/>
      <c r="I2" s="152"/>
      <c r="J2" s="153"/>
    </row>
    <row r="3" spans="2:11" ht="20.100000000000001" customHeight="1">
      <c r="B3" s="154"/>
      <c r="C3" s="29"/>
      <c r="D3" s="29"/>
      <c r="E3" s="29"/>
      <c r="F3" s="29"/>
      <c r="G3" s="29"/>
      <c r="H3" s="29"/>
      <c r="I3" s="29"/>
      <c r="J3" s="155"/>
    </row>
    <row r="4" spans="2:11" ht="15" customHeight="1">
      <c r="B4" s="154"/>
      <c r="C4" s="160" t="s">
        <v>2</v>
      </c>
      <c r="D4" s="161" t="s">
        <v>48</v>
      </c>
      <c r="E4" s="161">
        <v>4</v>
      </c>
      <c r="F4" s="162">
        <v>1</v>
      </c>
      <c r="G4" s="162">
        <v>0</v>
      </c>
      <c r="H4" s="161">
        <v>0</v>
      </c>
      <c r="I4" s="29"/>
      <c r="J4" s="156"/>
      <c r="K4" s="5"/>
    </row>
    <row r="5" spans="2:11" ht="20.100000000000001" customHeight="1">
      <c r="B5" s="154"/>
      <c r="C5" s="27"/>
      <c r="D5" s="27"/>
      <c r="E5" s="27"/>
      <c r="F5" s="27"/>
      <c r="G5" s="27"/>
      <c r="H5" s="27"/>
      <c r="I5" s="16"/>
      <c r="J5" s="155"/>
    </row>
    <row r="6" spans="2:11" s="4" customFormat="1" ht="20.100000000000001" customHeight="1">
      <c r="B6" s="151" t="s">
        <v>3</v>
      </c>
      <c r="C6" s="76"/>
      <c r="D6" s="152"/>
      <c r="E6" s="152"/>
      <c r="F6" s="152"/>
      <c r="G6" s="152"/>
      <c r="H6" s="152"/>
      <c r="I6" s="152"/>
      <c r="J6" s="153"/>
      <c r="K6" s="1"/>
    </row>
    <row r="7" spans="2:11" ht="20.100000000000001" customHeight="1">
      <c r="B7" s="154"/>
      <c r="C7" s="17"/>
      <c r="D7" s="17"/>
      <c r="E7" s="17"/>
      <c r="F7" s="17"/>
      <c r="G7" s="17"/>
      <c r="H7" s="17"/>
      <c r="I7" s="17"/>
      <c r="J7" s="157"/>
    </row>
    <row r="8" spans="2:11" ht="15" customHeight="1">
      <c r="B8" s="154"/>
      <c r="C8" s="160" t="s">
        <v>4</v>
      </c>
      <c r="D8" s="163" t="s">
        <v>5</v>
      </c>
      <c r="E8" s="160" t="s">
        <v>6</v>
      </c>
      <c r="F8" s="164"/>
      <c r="G8" s="164"/>
      <c r="H8" s="163" t="s">
        <v>7</v>
      </c>
      <c r="I8" s="163" t="s">
        <v>8</v>
      </c>
      <c r="J8" s="157"/>
    </row>
    <row r="9" spans="2:11" ht="15" customHeight="1">
      <c r="B9" s="154"/>
      <c r="C9" s="165" t="s">
        <v>52</v>
      </c>
      <c r="D9" s="161">
        <v>1</v>
      </c>
      <c r="E9" s="166" t="str">
        <f>C9</f>
        <v>Data</v>
      </c>
      <c r="F9" s="167"/>
      <c r="G9" s="167"/>
      <c r="H9" s="170"/>
      <c r="I9" s="171"/>
      <c r="J9" s="157"/>
    </row>
    <row r="10" spans="2:11" ht="15" customHeight="1">
      <c r="B10" s="154"/>
      <c r="C10" s="168"/>
      <c r="D10" s="161">
        <f>D9+1</f>
        <v>2</v>
      </c>
      <c r="E10" s="169"/>
      <c r="F10" s="169"/>
      <c r="G10" s="169"/>
      <c r="H10" s="172"/>
      <c r="I10" s="173"/>
      <c r="J10" s="157"/>
    </row>
    <row r="11" spans="2:11" ht="15" customHeight="1">
      <c r="B11" s="154"/>
      <c r="C11" s="168"/>
      <c r="D11" s="161">
        <f>D10+1</f>
        <v>3</v>
      </c>
      <c r="E11" s="169"/>
      <c r="F11" s="169"/>
      <c r="G11" s="169"/>
      <c r="H11" s="174"/>
      <c r="I11" s="175"/>
      <c r="J11" s="157"/>
    </row>
    <row r="12" spans="2:11" ht="20.100000000000001" customHeight="1">
      <c r="B12" s="154"/>
      <c r="C12" s="17"/>
      <c r="D12" s="17"/>
      <c r="E12" s="17"/>
      <c r="F12" s="17"/>
      <c r="G12" s="17"/>
      <c r="H12" s="17"/>
      <c r="I12" s="17"/>
      <c r="J12" s="157"/>
    </row>
    <row r="13" spans="2:11" s="4" customFormat="1" ht="20.100000000000001" customHeight="1">
      <c r="B13" s="151" t="s">
        <v>9</v>
      </c>
      <c r="C13" s="76"/>
      <c r="D13" s="152"/>
      <c r="E13" s="152"/>
      <c r="F13" s="152"/>
      <c r="G13" s="152"/>
      <c r="H13" s="152"/>
      <c r="I13" s="152"/>
      <c r="J13" s="153"/>
    </row>
    <row r="14" spans="2:11" ht="20.100000000000001" customHeight="1">
      <c r="B14" s="154"/>
      <c r="C14" s="17"/>
      <c r="D14" s="17"/>
      <c r="E14" s="17"/>
      <c r="F14" s="17"/>
      <c r="G14" s="17"/>
      <c r="H14" s="16"/>
      <c r="I14" s="16"/>
      <c r="J14" s="157"/>
    </row>
    <row r="15" spans="2:11" ht="15" customHeight="1">
      <c r="B15" s="154"/>
      <c r="C15" s="176" t="s">
        <v>215</v>
      </c>
      <c r="D15" s="161">
        <v>0</v>
      </c>
      <c r="E15" s="178" t="s">
        <v>51</v>
      </c>
      <c r="F15" s="179"/>
      <c r="G15" s="30"/>
      <c r="H15" s="16"/>
      <c r="I15" s="16"/>
      <c r="J15" s="157"/>
    </row>
    <row r="16" spans="2:11" ht="15" customHeight="1">
      <c r="B16" s="154"/>
      <c r="C16" s="43"/>
      <c r="D16" s="161">
        <v>1</v>
      </c>
      <c r="E16" s="324">
        <v>41912</v>
      </c>
      <c r="F16" s="325"/>
      <c r="G16" s="30"/>
      <c r="H16" s="16"/>
      <c r="I16" s="16"/>
      <c r="J16" s="157"/>
    </row>
    <row r="17" spans="2:11" ht="15" customHeight="1">
      <c r="B17" s="154"/>
      <c r="C17" s="43"/>
      <c r="D17" s="161">
        <v>2</v>
      </c>
      <c r="E17" s="324">
        <v>41943</v>
      </c>
      <c r="F17" s="325"/>
      <c r="G17" s="30"/>
      <c r="H17" s="16"/>
      <c r="I17" s="16"/>
      <c r="J17" s="157"/>
    </row>
    <row r="18" spans="2:11" ht="15" customHeight="1">
      <c r="B18" s="154"/>
      <c r="C18" s="43"/>
      <c r="D18" s="161">
        <v>3</v>
      </c>
      <c r="E18" s="324">
        <v>41973</v>
      </c>
      <c r="F18" s="325"/>
      <c r="G18" s="30"/>
      <c r="H18" s="16"/>
      <c r="I18" s="16"/>
      <c r="J18" s="157"/>
    </row>
    <row r="19" spans="2:11" ht="15" customHeight="1">
      <c r="B19" s="154"/>
      <c r="C19" s="43"/>
      <c r="D19" s="161">
        <v>4</v>
      </c>
      <c r="E19" s="324">
        <v>42004</v>
      </c>
      <c r="F19" s="325"/>
      <c r="G19" s="30"/>
      <c r="H19" s="16"/>
      <c r="I19" s="16"/>
      <c r="J19" s="157"/>
    </row>
    <row r="20" spans="2:11" ht="15" customHeight="1">
      <c r="B20" s="154"/>
      <c r="C20" s="43"/>
      <c r="D20" s="161">
        <v>5</v>
      </c>
      <c r="E20" s="324">
        <v>42035</v>
      </c>
      <c r="F20" s="325"/>
      <c r="G20" s="30"/>
      <c r="H20" s="16"/>
      <c r="I20" s="16"/>
      <c r="J20" s="157"/>
    </row>
    <row r="21" spans="2:11" ht="15" customHeight="1">
      <c r="B21" s="154"/>
      <c r="C21" s="43"/>
      <c r="D21" s="161">
        <v>6</v>
      </c>
      <c r="E21" s="324">
        <v>42063</v>
      </c>
      <c r="F21" s="325"/>
      <c r="G21" s="30"/>
      <c r="H21" s="16"/>
      <c r="I21" s="16"/>
      <c r="J21" s="157"/>
    </row>
    <row r="22" spans="2:11" ht="15" customHeight="1">
      <c r="B22" s="154"/>
      <c r="C22" s="43"/>
      <c r="D22" s="161">
        <v>7</v>
      </c>
      <c r="E22" s="324">
        <v>42094</v>
      </c>
      <c r="F22" s="325"/>
      <c r="G22" s="30"/>
      <c r="H22" s="16"/>
      <c r="I22" s="16"/>
      <c r="J22" s="157"/>
      <c r="K22" s="2"/>
    </row>
    <row r="23" spans="2:11" ht="15" customHeight="1">
      <c r="B23" s="154"/>
      <c r="C23" s="43"/>
      <c r="D23" s="31"/>
      <c r="E23" s="30"/>
      <c r="F23" s="30"/>
      <c r="G23" s="30"/>
      <c r="H23" s="16"/>
      <c r="I23" s="16"/>
      <c r="J23" s="157"/>
      <c r="K23" s="2"/>
    </row>
    <row r="24" spans="2:11" ht="15" customHeight="1">
      <c r="B24" s="154"/>
      <c r="C24" s="176" t="s">
        <v>45</v>
      </c>
      <c r="D24" s="161">
        <v>0</v>
      </c>
      <c r="E24" s="165" t="s">
        <v>51</v>
      </c>
      <c r="F24" s="30"/>
      <c r="G24" s="30"/>
      <c r="H24" s="16"/>
      <c r="I24" s="16"/>
      <c r="J24" s="157"/>
      <c r="K24" s="2"/>
    </row>
    <row r="25" spans="2:11" ht="15" customHeight="1">
      <c r="B25" s="154"/>
      <c r="C25" s="17"/>
      <c r="D25" s="161">
        <v>1</v>
      </c>
      <c r="E25" s="177" t="s">
        <v>22</v>
      </c>
      <c r="F25" s="30"/>
      <c r="G25" s="30"/>
      <c r="H25" s="16"/>
      <c r="I25" s="16"/>
      <c r="J25" s="157"/>
      <c r="K25" s="2"/>
    </row>
    <row r="26" spans="2:11" ht="15" customHeight="1">
      <c r="B26" s="154"/>
      <c r="C26" s="17"/>
      <c r="D26" s="161">
        <v>2</v>
      </c>
      <c r="E26" s="177" t="s">
        <v>23</v>
      </c>
      <c r="F26" s="30"/>
      <c r="G26" s="30"/>
      <c r="H26" s="16"/>
      <c r="I26" s="16"/>
      <c r="J26" s="157"/>
      <c r="K26" s="2"/>
    </row>
    <row r="27" spans="2:11" ht="15" customHeight="1">
      <c r="B27" s="154"/>
      <c r="C27" s="17"/>
      <c r="D27" s="161">
        <v>3</v>
      </c>
      <c r="E27" s="177" t="s">
        <v>24</v>
      </c>
      <c r="F27" s="30"/>
      <c r="G27" s="30"/>
      <c r="H27" s="16"/>
      <c r="I27" s="16"/>
      <c r="J27" s="157"/>
      <c r="K27" s="2"/>
    </row>
    <row r="28" spans="2:11" ht="15" customHeight="1">
      <c r="B28" s="154"/>
      <c r="C28" s="17"/>
      <c r="D28" s="161">
        <v>4</v>
      </c>
      <c r="E28" s="177" t="s">
        <v>25</v>
      </c>
      <c r="F28" s="30"/>
      <c r="G28" s="30"/>
      <c r="H28" s="16"/>
      <c r="I28" s="16"/>
      <c r="J28" s="157"/>
      <c r="K28" s="2"/>
    </row>
    <row r="29" spans="2:11" ht="15" customHeight="1">
      <c r="B29" s="154"/>
      <c r="C29" s="16"/>
      <c r="D29" s="161">
        <v>5</v>
      </c>
      <c r="E29" s="165" t="s">
        <v>26</v>
      </c>
      <c r="F29" s="16"/>
      <c r="G29" s="16"/>
      <c r="H29" s="16"/>
      <c r="I29" s="16"/>
      <c r="J29" s="157"/>
      <c r="K29" s="2"/>
    </row>
    <row r="30" spans="2:11" ht="15" customHeight="1">
      <c r="B30" s="154"/>
      <c r="C30" s="17"/>
      <c r="D30" s="161">
        <v>6</v>
      </c>
      <c r="E30" s="177" t="s">
        <v>27</v>
      </c>
      <c r="F30" s="17"/>
      <c r="G30" s="17"/>
      <c r="H30" s="17"/>
      <c r="I30" s="17"/>
      <c r="J30" s="157"/>
      <c r="K30" s="2"/>
    </row>
    <row r="31" spans="2:11" ht="15" customHeight="1">
      <c r="B31" s="154"/>
      <c r="C31" s="17"/>
      <c r="D31" s="161">
        <v>7</v>
      </c>
      <c r="E31" s="177" t="s">
        <v>28</v>
      </c>
      <c r="F31" s="17"/>
      <c r="G31" s="17"/>
      <c r="H31" s="17"/>
      <c r="I31" s="17"/>
      <c r="J31" s="157"/>
      <c r="K31" s="2"/>
    </row>
    <row r="32" spans="2:11" ht="15" customHeight="1">
      <c r="B32" s="154"/>
      <c r="C32" s="17"/>
      <c r="D32" s="161">
        <v>8</v>
      </c>
      <c r="E32" s="177" t="s">
        <v>29</v>
      </c>
      <c r="F32" s="17"/>
      <c r="G32" s="17"/>
      <c r="H32" s="17"/>
      <c r="I32" s="17"/>
      <c r="J32" s="157"/>
      <c r="K32" s="2"/>
    </row>
    <row r="33" spans="2:11" ht="15" customHeight="1">
      <c r="B33" s="154"/>
      <c r="C33" s="17"/>
      <c r="D33" s="161">
        <v>9</v>
      </c>
      <c r="E33" s="177" t="s">
        <v>30</v>
      </c>
      <c r="F33" s="17"/>
      <c r="G33" s="17"/>
      <c r="H33" s="17"/>
      <c r="I33" s="17"/>
      <c r="J33" s="157"/>
      <c r="K33" s="2"/>
    </row>
    <row r="34" spans="2:11" ht="15" customHeight="1">
      <c r="B34" s="154"/>
      <c r="C34" s="17"/>
      <c r="D34" s="161">
        <v>10</v>
      </c>
      <c r="E34" s="177" t="s">
        <v>31</v>
      </c>
      <c r="F34" s="17"/>
      <c r="G34" s="17"/>
      <c r="H34" s="17"/>
      <c r="I34" s="17"/>
      <c r="J34" s="157"/>
      <c r="K34" s="2"/>
    </row>
    <row r="35" spans="2:11" ht="15" customHeight="1">
      <c r="B35" s="154"/>
      <c r="C35" s="17"/>
      <c r="D35" s="161">
        <v>11</v>
      </c>
      <c r="E35" s="177" t="s">
        <v>32</v>
      </c>
      <c r="F35" s="17"/>
      <c r="G35" s="17"/>
      <c r="H35" s="17"/>
      <c r="I35" s="17"/>
      <c r="J35" s="157"/>
      <c r="K35" s="2"/>
    </row>
    <row r="36" spans="2:11" ht="15" customHeight="1">
      <c r="B36" s="154"/>
      <c r="C36" s="17"/>
      <c r="D36" s="161">
        <v>12</v>
      </c>
      <c r="E36" s="177" t="s">
        <v>55</v>
      </c>
      <c r="F36" s="17"/>
      <c r="G36" s="17"/>
      <c r="H36" s="17"/>
      <c r="I36" s="17"/>
      <c r="J36" s="157"/>
      <c r="K36" s="2"/>
    </row>
    <row r="37" spans="2:11" ht="15" customHeight="1">
      <c r="B37" s="154"/>
      <c r="C37" s="17"/>
      <c r="D37" s="161">
        <v>13</v>
      </c>
      <c r="E37" s="177" t="s">
        <v>33</v>
      </c>
      <c r="F37" s="17"/>
      <c r="G37" s="17"/>
      <c r="H37" s="17"/>
      <c r="I37" s="17"/>
      <c r="J37" s="157"/>
      <c r="K37" s="2"/>
    </row>
    <row r="38" spans="2:11" ht="15" customHeight="1">
      <c r="B38" s="154"/>
      <c r="C38" s="17"/>
      <c r="D38" s="161">
        <v>14</v>
      </c>
      <c r="E38" s="177" t="s">
        <v>34</v>
      </c>
      <c r="F38" s="17"/>
      <c r="G38" s="17"/>
      <c r="H38" s="17"/>
      <c r="I38" s="17"/>
      <c r="J38" s="157"/>
      <c r="K38" s="2"/>
    </row>
    <row r="39" spans="2:11" ht="15" customHeight="1">
      <c r="B39" s="154"/>
      <c r="C39" s="17"/>
      <c r="D39" s="161">
        <v>15</v>
      </c>
      <c r="E39" s="177" t="s">
        <v>35</v>
      </c>
      <c r="F39" s="17"/>
      <c r="G39" s="17"/>
      <c r="H39" s="17"/>
      <c r="I39" s="17"/>
      <c r="J39" s="157"/>
      <c r="K39" s="2"/>
    </row>
    <row r="40" spans="2:11" ht="15" customHeight="1">
      <c r="B40" s="154"/>
      <c r="C40" s="17"/>
      <c r="D40" s="161">
        <v>16</v>
      </c>
      <c r="E40" s="177" t="s">
        <v>36</v>
      </c>
      <c r="F40" s="17"/>
      <c r="G40" s="17"/>
      <c r="H40" s="17"/>
      <c r="I40" s="17"/>
      <c r="J40" s="157"/>
      <c r="K40" s="2"/>
    </row>
    <row r="41" spans="2:11" ht="15" customHeight="1">
      <c r="B41" s="154"/>
      <c r="C41" s="17"/>
      <c r="D41" s="161">
        <v>17</v>
      </c>
      <c r="E41" s="177" t="s">
        <v>37</v>
      </c>
      <c r="F41" s="17"/>
      <c r="G41" s="17"/>
      <c r="H41" s="17"/>
      <c r="I41" s="17"/>
      <c r="J41" s="157"/>
      <c r="K41" s="2"/>
    </row>
    <row r="42" spans="2:11" ht="15" customHeight="1">
      <c r="B42" s="154"/>
      <c r="C42" s="17"/>
      <c r="D42" s="161">
        <v>18</v>
      </c>
      <c r="E42" s="165" t="s">
        <v>54</v>
      </c>
      <c r="F42" s="17"/>
      <c r="G42" s="17"/>
      <c r="H42" s="17"/>
      <c r="I42" s="17"/>
      <c r="J42" s="157"/>
      <c r="K42" s="2"/>
    </row>
    <row r="43" spans="2:11" ht="15" customHeight="1">
      <c r="B43" s="154"/>
      <c r="C43" s="17"/>
      <c r="D43" s="161">
        <v>19</v>
      </c>
      <c r="E43" s="165" t="s">
        <v>38</v>
      </c>
      <c r="F43" s="17"/>
      <c r="G43" s="17"/>
      <c r="H43" s="17"/>
      <c r="I43" s="17"/>
      <c r="J43" s="157"/>
      <c r="K43" s="2"/>
    </row>
    <row r="44" spans="2:11" ht="15" customHeight="1">
      <c r="B44" s="154"/>
      <c r="C44" s="17"/>
      <c r="D44" s="161">
        <v>20</v>
      </c>
      <c r="E44" s="165" t="s">
        <v>53</v>
      </c>
      <c r="F44" s="17"/>
      <c r="G44" s="17"/>
      <c r="H44" s="17"/>
      <c r="I44" s="17"/>
      <c r="J44" s="157"/>
      <c r="K44" s="2"/>
    </row>
    <row r="45" spans="2:11" ht="15" customHeight="1">
      <c r="B45" s="154"/>
      <c r="C45" s="17"/>
      <c r="D45" s="161">
        <v>21</v>
      </c>
      <c r="E45" s="177" t="s">
        <v>39</v>
      </c>
      <c r="F45" s="17"/>
      <c r="G45" s="17"/>
      <c r="H45" s="17"/>
      <c r="I45" s="17"/>
      <c r="J45" s="157"/>
      <c r="K45" s="2"/>
    </row>
    <row r="46" spans="2:11" ht="15" customHeight="1">
      <c r="B46" s="154"/>
      <c r="C46" s="17"/>
      <c r="D46" s="17"/>
      <c r="E46" s="17"/>
      <c r="F46" s="17"/>
      <c r="G46" s="17"/>
      <c r="H46" s="17"/>
      <c r="I46" s="17"/>
      <c r="J46" s="157"/>
      <c r="K46" s="2"/>
    </row>
    <row r="47" spans="2:11" ht="15" customHeight="1">
      <c r="B47" s="154"/>
      <c r="C47" s="176" t="s">
        <v>216</v>
      </c>
      <c r="D47" s="168"/>
      <c r="E47" s="326" t="s">
        <v>217</v>
      </c>
      <c r="F47" s="326"/>
      <c r="G47" s="326"/>
      <c r="H47" s="17"/>
      <c r="I47" s="2"/>
      <c r="J47" s="157"/>
      <c r="K47" s="2"/>
    </row>
    <row r="48" spans="2:11" ht="15" customHeight="1">
      <c r="B48" s="154"/>
      <c r="C48" s="43"/>
      <c r="D48" s="161">
        <v>0</v>
      </c>
      <c r="E48" s="165" t="s">
        <v>51</v>
      </c>
      <c r="F48" s="181" t="s">
        <v>263</v>
      </c>
      <c r="G48" s="182"/>
      <c r="H48" s="17"/>
      <c r="I48" s="17"/>
      <c r="J48" s="157"/>
      <c r="K48" s="2"/>
    </row>
    <row r="49" spans="2:11" ht="15" customHeight="1">
      <c r="B49" s="154"/>
      <c r="C49" s="43"/>
      <c r="D49" s="161">
        <v>1</v>
      </c>
      <c r="E49" s="180" t="s">
        <v>16</v>
      </c>
      <c r="F49" s="303">
        <v>0.67435430600000001</v>
      </c>
      <c r="G49" s="183"/>
      <c r="H49" s="17"/>
      <c r="I49" s="17"/>
      <c r="J49" s="157"/>
      <c r="K49" s="2"/>
    </row>
    <row r="50" spans="2:11" ht="15" customHeight="1">
      <c r="B50" s="154"/>
      <c r="C50" s="17"/>
      <c r="D50" s="161">
        <v>2</v>
      </c>
      <c r="E50" s="177" t="s">
        <v>21</v>
      </c>
      <c r="F50" s="304">
        <v>0.31049150800000003</v>
      </c>
      <c r="G50" s="184"/>
      <c r="H50" s="17"/>
      <c r="I50" s="17"/>
      <c r="J50" s="157"/>
      <c r="K50" s="2"/>
    </row>
    <row r="51" spans="2:11" ht="15" customHeight="1">
      <c r="B51" s="154"/>
      <c r="C51" s="17"/>
      <c r="D51" s="161">
        <v>3</v>
      </c>
      <c r="E51" s="177" t="s">
        <v>17</v>
      </c>
      <c r="F51" s="304">
        <v>0.71108582799999998</v>
      </c>
      <c r="G51" s="184"/>
      <c r="H51" s="17"/>
      <c r="I51" s="17"/>
      <c r="J51" s="157"/>
      <c r="K51" s="2"/>
    </row>
    <row r="52" spans="2:11" ht="15" customHeight="1">
      <c r="B52" s="154"/>
      <c r="C52" s="17"/>
      <c r="D52" s="161">
        <v>4</v>
      </c>
      <c r="E52" s="177" t="s">
        <v>19</v>
      </c>
      <c r="F52" s="304">
        <v>0.831669993</v>
      </c>
      <c r="G52" s="184"/>
      <c r="H52" s="17"/>
      <c r="I52" s="17"/>
      <c r="J52" s="157"/>
      <c r="K52" s="2"/>
    </row>
    <row r="53" spans="2:11" ht="15" customHeight="1">
      <c r="B53" s="154"/>
      <c r="C53" s="16"/>
      <c r="D53" s="161">
        <v>5</v>
      </c>
      <c r="E53" s="165" t="s">
        <v>14</v>
      </c>
      <c r="F53" s="304">
        <v>0.132699912</v>
      </c>
      <c r="G53" s="185"/>
      <c r="H53" s="17"/>
      <c r="I53" s="17"/>
      <c r="J53" s="157"/>
      <c r="K53" s="2"/>
    </row>
    <row r="54" spans="2:11" ht="15" customHeight="1">
      <c r="B54" s="154"/>
      <c r="C54" s="16"/>
      <c r="D54" s="161">
        <v>6</v>
      </c>
      <c r="E54" s="165" t="s">
        <v>42</v>
      </c>
      <c r="F54" s="304">
        <v>0.134312922</v>
      </c>
      <c r="G54" s="185"/>
      <c r="H54" s="17"/>
      <c r="I54" s="17"/>
      <c r="J54" s="157"/>
      <c r="K54" s="2"/>
    </row>
    <row r="55" spans="2:11" ht="15" customHeight="1">
      <c r="B55" s="154"/>
      <c r="C55" s="17"/>
      <c r="D55" s="161">
        <v>7</v>
      </c>
      <c r="E55" s="177" t="s">
        <v>11</v>
      </c>
      <c r="F55" s="304">
        <v>1</v>
      </c>
      <c r="G55" s="186"/>
      <c r="H55" s="17"/>
      <c r="I55" s="17"/>
      <c r="J55" s="157"/>
      <c r="K55" s="2"/>
    </row>
    <row r="56" spans="2:11" ht="15" customHeight="1">
      <c r="B56" s="154"/>
      <c r="C56" s="17"/>
      <c r="D56" s="161">
        <v>8</v>
      </c>
      <c r="E56" s="177" t="s">
        <v>12</v>
      </c>
      <c r="F56" s="304">
        <v>1.2838618559999999</v>
      </c>
      <c r="G56" s="186"/>
      <c r="H56" s="17"/>
      <c r="I56" s="17"/>
      <c r="J56" s="157"/>
      <c r="K56" s="2"/>
    </row>
    <row r="57" spans="2:11" ht="15" customHeight="1">
      <c r="B57" s="154"/>
      <c r="C57" s="17"/>
      <c r="D57" s="161">
        <v>9</v>
      </c>
      <c r="E57" s="177" t="s">
        <v>15</v>
      </c>
      <c r="F57" s="304">
        <v>0.106190931</v>
      </c>
      <c r="G57" s="186"/>
      <c r="H57" s="17"/>
      <c r="I57" s="17"/>
      <c r="J57" s="157"/>
      <c r="K57" s="2"/>
    </row>
    <row r="58" spans="2:11" ht="15" customHeight="1">
      <c r="B58" s="154"/>
      <c r="C58" s="17"/>
      <c r="D58" s="161">
        <v>10</v>
      </c>
      <c r="E58" s="177" t="s">
        <v>20</v>
      </c>
      <c r="F58" s="304">
        <v>1.3034581E-2</v>
      </c>
      <c r="G58" s="186"/>
      <c r="H58" s="17"/>
      <c r="I58" s="17"/>
      <c r="J58" s="157"/>
      <c r="K58" s="2"/>
    </row>
    <row r="59" spans="2:11" ht="15" customHeight="1">
      <c r="B59" s="154"/>
      <c r="C59" s="17"/>
      <c r="D59" s="161">
        <v>11</v>
      </c>
      <c r="E59" s="177" t="s">
        <v>13</v>
      </c>
      <c r="F59" s="304">
        <v>6.8856300000000002E-3</v>
      </c>
      <c r="G59" s="186"/>
      <c r="H59" s="17"/>
      <c r="I59" s="17"/>
      <c r="J59" s="157"/>
      <c r="K59" s="2"/>
    </row>
    <row r="60" spans="2:11" ht="15" customHeight="1">
      <c r="B60" s="154"/>
      <c r="C60" s="17"/>
      <c r="D60" s="161">
        <v>12</v>
      </c>
      <c r="E60" s="177" t="s">
        <v>40</v>
      </c>
      <c r="F60" s="304">
        <v>7.5483099999999997E-4</v>
      </c>
      <c r="G60" s="186"/>
      <c r="H60" s="17"/>
      <c r="I60" s="17"/>
      <c r="J60" s="157"/>
      <c r="K60" s="2"/>
    </row>
    <row r="61" spans="2:11" ht="15" customHeight="1">
      <c r="B61" s="154"/>
      <c r="C61" s="17"/>
      <c r="D61" s="161">
        <v>13</v>
      </c>
      <c r="E61" s="180" t="s">
        <v>208</v>
      </c>
      <c r="F61" s="304">
        <v>5.5966285999999997E-2</v>
      </c>
      <c r="G61" s="186"/>
      <c r="H61" s="17"/>
      <c r="I61" s="17"/>
      <c r="J61" s="157"/>
      <c r="K61" s="2"/>
    </row>
    <row r="62" spans="2:11" ht="15" customHeight="1">
      <c r="B62" s="154"/>
      <c r="C62" s="17"/>
      <c r="D62" s="161">
        <v>14</v>
      </c>
      <c r="E62" s="177" t="s">
        <v>41</v>
      </c>
      <c r="F62" s="304">
        <v>0.110595001</v>
      </c>
      <c r="G62" s="186"/>
      <c r="H62" s="17"/>
      <c r="I62" s="17"/>
      <c r="J62" s="157"/>
      <c r="K62" s="2"/>
    </row>
    <row r="63" spans="2:11" ht="15" customHeight="1">
      <c r="B63" s="154"/>
      <c r="C63" s="17"/>
      <c r="D63" s="161">
        <v>15</v>
      </c>
      <c r="E63" s="180" t="s">
        <v>209</v>
      </c>
      <c r="F63" s="304">
        <v>0.64412238300000002</v>
      </c>
      <c r="G63" s="186"/>
      <c r="H63" s="17"/>
      <c r="I63" s="17"/>
      <c r="J63" s="157"/>
      <c r="K63" s="2"/>
    </row>
    <row r="64" spans="2:11" ht="15" customHeight="1">
      <c r="B64" s="154"/>
      <c r="C64" s="17"/>
      <c r="D64" s="161">
        <v>16</v>
      </c>
      <c r="E64" s="177" t="s">
        <v>57</v>
      </c>
      <c r="F64" s="304">
        <v>1.3824184E-2</v>
      </c>
      <c r="G64" s="186"/>
      <c r="H64" s="17"/>
      <c r="I64" s="17"/>
      <c r="J64" s="157"/>
      <c r="K64" s="2"/>
    </row>
    <row r="65" spans="2:11" ht="15" customHeight="1">
      <c r="B65" s="154"/>
      <c r="C65" s="17"/>
      <c r="D65" s="161">
        <v>17</v>
      </c>
      <c r="E65" s="177" t="s">
        <v>43</v>
      </c>
      <c r="F65" s="304">
        <v>0.106462259</v>
      </c>
      <c r="G65" s="186"/>
      <c r="H65" s="17"/>
      <c r="I65" s="17"/>
      <c r="J65" s="157"/>
      <c r="K65" s="2"/>
    </row>
    <row r="66" spans="2:11" ht="15" customHeight="1">
      <c r="B66" s="154"/>
      <c r="C66" s="17"/>
      <c r="D66" s="161">
        <v>18</v>
      </c>
      <c r="E66" s="177" t="s">
        <v>18</v>
      </c>
      <c r="F66" s="304">
        <v>0.622742558</v>
      </c>
      <c r="G66" s="186"/>
      <c r="H66" s="17"/>
      <c r="I66" s="17"/>
      <c r="J66" s="157"/>
      <c r="K66" s="2"/>
    </row>
    <row r="67" spans="2:11" ht="15" customHeight="1">
      <c r="B67" s="154"/>
      <c r="C67" s="17"/>
      <c r="D67" s="161">
        <v>19</v>
      </c>
      <c r="E67" s="177" t="s">
        <v>10</v>
      </c>
      <c r="F67" s="305">
        <v>0.82365538299999996</v>
      </c>
      <c r="G67" s="187"/>
      <c r="H67" s="17"/>
      <c r="I67" s="17"/>
      <c r="J67" s="157"/>
      <c r="K67" s="2"/>
    </row>
    <row r="68" spans="2:11" ht="15" customHeight="1">
      <c r="B68" s="154"/>
      <c r="C68" s="17"/>
      <c r="D68" s="31"/>
      <c r="E68" s="30"/>
      <c r="F68" s="17"/>
      <c r="G68" s="17"/>
      <c r="H68" s="17"/>
      <c r="I68" s="17"/>
      <c r="J68" s="157"/>
      <c r="K68" s="2"/>
    </row>
    <row r="69" spans="2:11" ht="15" customHeight="1">
      <c r="B69" s="154"/>
      <c r="C69" s="176" t="s">
        <v>46</v>
      </c>
      <c r="D69" s="161">
        <v>0</v>
      </c>
      <c r="E69" s="188" t="s">
        <v>51</v>
      </c>
      <c r="F69" s="189"/>
      <c r="G69" s="179"/>
      <c r="H69" s="17"/>
      <c r="I69" s="17"/>
      <c r="J69" s="157"/>
      <c r="K69" s="2"/>
    </row>
    <row r="70" spans="2:11" ht="15" customHeight="1">
      <c r="B70" s="154"/>
      <c r="C70" s="43"/>
      <c r="D70" s="161">
        <v>1</v>
      </c>
      <c r="E70" s="190">
        <v>1</v>
      </c>
      <c r="F70" s="191" t="s">
        <v>150</v>
      </c>
      <c r="G70" s="192" t="s">
        <v>155</v>
      </c>
      <c r="H70" s="17"/>
      <c r="I70" s="17"/>
      <c r="J70" s="157"/>
    </row>
    <row r="71" spans="2:11" ht="15" customHeight="1">
      <c r="B71" s="154"/>
      <c r="C71" s="17"/>
      <c r="D71" s="161">
        <v>2</v>
      </c>
      <c r="E71" s="190">
        <v>1000</v>
      </c>
      <c r="F71" s="191" t="s">
        <v>151</v>
      </c>
      <c r="G71" s="192" t="s">
        <v>153</v>
      </c>
      <c r="H71" s="17"/>
      <c r="I71" s="17"/>
      <c r="J71" s="157"/>
    </row>
    <row r="72" spans="2:11" ht="15" customHeight="1">
      <c r="B72" s="154"/>
      <c r="C72" s="17"/>
      <c r="D72" s="161">
        <v>3</v>
      </c>
      <c r="E72" s="190">
        <v>1000000</v>
      </c>
      <c r="F72" s="191" t="s">
        <v>152</v>
      </c>
      <c r="G72" s="192" t="s">
        <v>154</v>
      </c>
      <c r="H72" s="17"/>
      <c r="I72" s="17"/>
      <c r="J72" s="157"/>
    </row>
    <row r="73" spans="2:11" ht="15" customHeight="1">
      <c r="B73" s="154"/>
      <c r="C73" s="17"/>
      <c r="D73" s="31"/>
      <c r="E73" s="30"/>
      <c r="F73" s="17"/>
      <c r="G73" s="17"/>
      <c r="H73" s="17"/>
      <c r="I73" s="17"/>
      <c r="J73" s="157"/>
    </row>
    <row r="74" spans="2:11" ht="15" customHeight="1">
      <c r="B74" s="154"/>
      <c r="C74" s="176" t="s">
        <v>47</v>
      </c>
      <c r="D74" s="161">
        <v>0</v>
      </c>
      <c r="E74" s="188" t="s">
        <v>51</v>
      </c>
      <c r="F74" s="193"/>
      <c r="G74" s="179"/>
      <c r="H74" s="17"/>
      <c r="I74" s="17"/>
      <c r="J74" s="157"/>
    </row>
    <row r="75" spans="2:11" ht="15" customHeight="1">
      <c r="B75" s="154"/>
      <c r="C75" s="43"/>
      <c r="D75" s="161">
        <v>1</v>
      </c>
      <c r="E75" s="194" t="s">
        <v>44</v>
      </c>
      <c r="F75" s="193"/>
      <c r="G75" s="179"/>
      <c r="H75" s="17"/>
      <c r="I75" s="17"/>
      <c r="J75" s="157"/>
    </row>
    <row r="76" spans="2:11" ht="15" customHeight="1">
      <c r="B76" s="154"/>
      <c r="C76" s="17"/>
      <c r="D76" s="161">
        <v>2</v>
      </c>
      <c r="E76" s="194" t="s">
        <v>56</v>
      </c>
      <c r="F76" s="193"/>
      <c r="G76" s="179"/>
      <c r="H76" s="17"/>
      <c r="I76" s="17"/>
      <c r="J76" s="157"/>
    </row>
    <row r="77" spans="2:11" ht="15" customHeight="1">
      <c r="B77" s="154"/>
      <c r="C77" s="17"/>
      <c r="D77" s="161">
        <v>3</v>
      </c>
      <c r="E77" s="194" t="s">
        <v>49</v>
      </c>
      <c r="F77" s="193"/>
      <c r="G77" s="179"/>
      <c r="H77" s="17"/>
      <c r="I77" s="17"/>
      <c r="J77" s="157"/>
    </row>
    <row r="78" spans="2:11" ht="15" customHeight="1">
      <c r="B78" s="154"/>
      <c r="C78" s="17"/>
      <c r="D78" s="31"/>
      <c r="E78" s="30"/>
      <c r="F78" s="17"/>
      <c r="G78" s="17"/>
      <c r="H78" s="17"/>
      <c r="I78" s="17"/>
      <c r="J78" s="157"/>
    </row>
    <row r="79" spans="2:11" ht="15" customHeight="1">
      <c r="B79" s="154"/>
      <c r="C79" s="176" t="s">
        <v>198</v>
      </c>
      <c r="D79" s="161">
        <v>0</v>
      </c>
      <c r="E79" s="195"/>
      <c r="F79" s="179"/>
      <c r="G79" s="30"/>
      <c r="H79" s="17"/>
      <c r="I79" s="17"/>
      <c r="J79" s="157"/>
    </row>
    <row r="80" spans="2:11" ht="15" customHeight="1">
      <c r="B80" s="154"/>
      <c r="C80" s="17"/>
      <c r="D80" s="161">
        <v>1</v>
      </c>
      <c r="E80" s="195" t="s">
        <v>196</v>
      </c>
      <c r="F80" s="179"/>
      <c r="G80" s="30"/>
      <c r="H80" s="17"/>
      <c r="I80" s="17"/>
      <c r="J80" s="157"/>
    </row>
    <row r="81" spans="2:10" ht="15" customHeight="1">
      <c r="B81" s="154"/>
      <c r="C81" s="17"/>
      <c r="D81" s="161">
        <v>2</v>
      </c>
      <c r="E81" s="195" t="s">
        <v>197</v>
      </c>
      <c r="F81" s="179"/>
      <c r="G81" s="30"/>
      <c r="H81" s="17"/>
      <c r="I81" s="17"/>
      <c r="J81" s="157"/>
    </row>
    <row r="82" spans="2:10" ht="15" customHeight="1">
      <c r="B82" s="154"/>
      <c r="C82" s="17"/>
      <c r="D82" s="31"/>
      <c r="E82" s="30"/>
      <c r="F82" s="17"/>
      <c r="G82" s="17"/>
      <c r="H82" s="17"/>
      <c r="I82" s="17"/>
      <c r="J82" s="157"/>
    </row>
    <row r="83" spans="2:10" ht="15" customHeight="1">
      <c r="B83" s="154"/>
      <c r="C83" s="176" t="s">
        <v>502</v>
      </c>
      <c r="D83" s="161">
        <v>1</v>
      </c>
      <c r="E83" s="195" t="s">
        <v>498</v>
      </c>
      <c r="F83" s="179"/>
      <c r="G83" s="30"/>
      <c r="H83" s="17"/>
      <c r="I83" s="17"/>
      <c r="J83" s="157"/>
    </row>
    <row r="84" spans="2:10" ht="15" customHeight="1">
      <c r="B84" s="154"/>
      <c r="C84" s="17"/>
      <c r="D84" s="161">
        <v>2</v>
      </c>
      <c r="E84" s="195" t="s">
        <v>499</v>
      </c>
      <c r="F84" s="179"/>
      <c r="G84" s="30"/>
      <c r="H84" s="17"/>
      <c r="I84" s="17"/>
      <c r="J84" s="157"/>
    </row>
    <row r="85" spans="2:10" ht="15" customHeight="1">
      <c r="B85" s="154"/>
      <c r="C85" s="17"/>
      <c r="D85" s="161">
        <v>3</v>
      </c>
      <c r="E85" s="195" t="s">
        <v>500</v>
      </c>
      <c r="F85" s="179"/>
      <c r="G85" s="30"/>
      <c r="H85" s="17"/>
      <c r="I85" s="17"/>
      <c r="J85" s="157"/>
    </row>
    <row r="86" spans="2:10" ht="15" customHeight="1">
      <c r="B86" s="154"/>
      <c r="C86" s="17"/>
      <c r="D86" s="161">
        <v>4</v>
      </c>
      <c r="E86" s="195" t="s">
        <v>503</v>
      </c>
      <c r="F86" s="179"/>
      <c r="G86" s="30"/>
      <c r="H86" s="17"/>
      <c r="I86" s="17"/>
      <c r="J86" s="157"/>
    </row>
    <row r="87" spans="2:10" ht="15" customHeight="1">
      <c r="B87" s="154"/>
      <c r="C87" s="17"/>
      <c r="D87" s="161">
        <v>5</v>
      </c>
      <c r="E87" s="195" t="s">
        <v>504</v>
      </c>
      <c r="F87" s="179"/>
      <c r="G87" s="30"/>
      <c r="H87" s="17"/>
      <c r="I87" s="17"/>
      <c r="J87" s="157"/>
    </row>
    <row r="88" spans="2:10" ht="15" customHeight="1">
      <c r="B88" s="154"/>
      <c r="C88" s="17"/>
      <c r="D88" s="161">
        <v>6</v>
      </c>
      <c r="E88" s="195" t="s">
        <v>505</v>
      </c>
      <c r="F88" s="179"/>
      <c r="G88" s="30"/>
      <c r="H88" s="17"/>
      <c r="I88" s="17"/>
      <c r="J88" s="157"/>
    </row>
    <row r="89" spans="2:10" ht="15" customHeight="1">
      <c r="B89" s="154"/>
      <c r="C89" s="17"/>
      <c r="D89" s="161">
        <v>7</v>
      </c>
      <c r="E89" s="195" t="s">
        <v>506</v>
      </c>
      <c r="F89" s="179"/>
      <c r="G89" s="30"/>
      <c r="H89" s="17"/>
      <c r="I89" s="17"/>
      <c r="J89" s="157"/>
    </row>
    <row r="90" spans="2:10" ht="15" customHeight="1">
      <c r="B90" s="154"/>
      <c r="C90" s="17"/>
      <c r="D90" s="161">
        <v>8</v>
      </c>
      <c r="E90" s="195" t="s">
        <v>501</v>
      </c>
      <c r="F90" s="179"/>
      <c r="G90" s="30"/>
      <c r="H90" s="17"/>
      <c r="I90" s="17"/>
      <c r="J90" s="157"/>
    </row>
    <row r="91" spans="2:10" ht="15" customHeight="1">
      <c r="B91" s="154"/>
      <c r="C91" s="17"/>
      <c r="D91" s="161">
        <v>9</v>
      </c>
      <c r="E91" s="195" t="s">
        <v>494</v>
      </c>
      <c r="F91" s="179"/>
      <c r="G91" s="30"/>
      <c r="H91" s="17"/>
      <c r="I91" s="17"/>
      <c r="J91" s="157"/>
    </row>
    <row r="92" spans="2:10" ht="15" customHeight="1">
      <c r="B92" s="154"/>
      <c r="C92" s="17"/>
      <c r="D92" s="161">
        <v>10</v>
      </c>
      <c r="E92" s="195" t="s">
        <v>495</v>
      </c>
      <c r="F92" s="179"/>
      <c r="G92" s="30"/>
      <c r="H92" s="17"/>
      <c r="I92" s="17"/>
      <c r="J92" s="157"/>
    </row>
    <row r="93" spans="2:10" ht="15" customHeight="1">
      <c r="B93" s="154"/>
      <c r="C93" s="17"/>
      <c r="D93" s="161">
        <v>11</v>
      </c>
      <c r="E93" s="195" t="s">
        <v>496</v>
      </c>
      <c r="F93" s="179"/>
      <c r="G93" s="30"/>
      <c r="H93" s="17"/>
      <c r="I93" s="17"/>
      <c r="J93" s="157"/>
    </row>
    <row r="94" spans="2:10" ht="15" customHeight="1">
      <c r="B94" s="154"/>
      <c r="C94" s="17"/>
      <c r="D94" s="161">
        <v>12</v>
      </c>
      <c r="E94" s="195" t="s">
        <v>497</v>
      </c>
      <c r="F94" s="179"/>
      <c r="G94" s="30"/>
      <c r="H94" s="17"/>
      <c r="I94" s="17"/>
      <c r="J94" s="157"/>
    </row>
    <row r="95" spans="2:10" ht="20.100000000000001" customHeight="1">
      <c r="B95" s="158"/>
      <c r="C95" s="146"/>
      <c r="D95" s="146"/>
      <c r="E95" s="146"/>
      <c r="F95" s="146"/>
      <c r="G95" s="146"/>
      <c r="H95" s="146"/>
      <c r="I95" s="146"/>
      <c r="J95" s="159"/>
    </row>
    <row r="96" spans="2:10" ht="30" customHeight="1">
      <c r="C96" s="9"/>
      <c r="D96" s="10"/>
      <c r="E96" s="10"/>
      <c r="F96" s="10"/>
      <c r="G96" s="10"/>
      <c r="H96" s="10"/>
      <c r="I96" s="10"/>
      <c r="J96" s="10"/>
    </row>
    <row r="97" spans="4:16">
      <c r="D97" s="14"/>
      <c r="I97" s="2"/>
      <c r="J97" s="2"/>
      <c r="K97" s="2"/>
      <c r="L97" s="2"/>
      <c r="M97" s="2"/>
      <c r="N97" s="2"/>
      <c r="O97" s="2"/>
      <c r="P97" s="2"/>
    </row>
    <row r="98" spans="4:16">
      <c r="I98" s="2"/>
      <c r="J98" s="2"/>
      <c r="K98" s="2"/>
      <c r="L98" s="2"/>
      <c r="M98" s="2"/>
      <c r="N98" s="2"/>
      <c r="O98" s="2"/>
      <c r="P98" s="2"/>
    </row>
    <row r="99" spans="4:16">
      <c r="I99" s="2"/>
      <c r="J99" s="2"/>
      <c r="K99" s="2"/>
      <c r="L99" s="2"/>
      <c r="M99" s="2"/>
      <c r="N99" s="2"/>
      <c r="O99" s="2"/>
      <c r="P99" s="2"/>
    </row>
    <row r="100" spans="4:16">
      <c r="I100" s="2"/>
      <c r="J100" s="2"/>
      <c r="K100" s="2"/>
      <c r="L100" s="2"/>
      <c r="M100" s="2"/>
      <c r="N100" s="2"/>
      <c r="O100" s="2"/>
      <c r="P100" s="2"/>
    </row>
    <row r="101" spans="4:16">
      <c r="H101" s="7"/>
      <c r="I101" s="2"/>
      <c r="J101" s="2"/>
      <c r="K101" s="11"/>
      <c r="L101" s="2"/>
      <c r="M101" s="2"/>
      <c r="N101" s="2"/>
      <c r="O101" s="2"/>
      <c r="P101" s="2"/>
    </row>
    <row r="102" spans="4:16">
      <c r="H102" s="7"/>
      <c r="I102" s="2"/>
      <c r="J102" s="2"/>
      <c r="K102" s="12"/>
      <c r="L102" s="2"/>
      <c r="M102" s="2"/>
      <c r="N102" s="2"/>
      <c r="O102" s="2"/>
      <c r="P102" s="2"/>
    </row>
    <row r="103" spans="4:16">
      <c r="H103" s="7"/>
      <c r="I103" s="2"/>
      <c r="J103" s="2"/>
      <c r="K103" s="12"/>
      <c r="L103" s="2"/>
      <c r="M103" s="2"/>
      <c r="N103" s="2"/>
      <c r="O103" s="2"/>
      <c r="P103" s="2"/>
    </row>
    <row r="104" spans="4:16">
      <c r="H104" s="7"/>
      <c r="I104" s="2"/>
      <c r="J104" s="2"/>
      <c r="K104" s="13"/>
      <c r="L104" s="2"/>
      <c r="M104" s="2"/>
      <c r="N104" s="2"/>
      <c r="O104" s="2"/>
      <c r="P104" s="2"/>
    </row>
    <row r="105" spans="4:16">
      <c r="H105" s="8"/>
      <c r="I105" s="2"/>
      <c r="J105" s="2"/>
      <c r="K105" s="12"/>
      <c r="L105" s="2"/>
      <c r="M105" s="2"/>
      <c r="N105" s="2"/>
      <c r="O105" s="2"/>
      <c r="P105" s="2"/>
    </row>
    <row r="106" spans="4:16">
      <c r="H106" s="8"/>
      <c r="I106" s="2"/>
      <c r="J106" s="2"/>
      <c r="K106" s="12"/>
      <c r="L106" s="2"/>
      <c r="M106" s="2"/>
      <c r="N106" s="2"/>
      <c r="O106" s="2"/>
      <c r="P106" s="2"/>
    </row>
    <row r="107" spans="4:16">
      <c r="H107" s="7"/>
      <c r="I107" s="2"/>
      <c r="J107" s="2"/>
      <c r="K107" s="12"/>
      <c r="L107" s="2"/>
      <c r="M107" s="2"/>
      <c r="N107" s="2"/>
      <c r="O107" s="2"/>
      <c r="P107" s="2"/>
    </row>
    <row r="108" spans="4:16">
      <c r="H108" s="7"/>
      <c r="I108" s="2"/>
      <c r="J108" s="2"/>
      <c r="K108" s="12"/>
      <c r="L108" s="2"/>
      <c r="M108" s="2"/>
      <c r="N108" s="2"/>
      <c r="O108" s="2"/>
      <c r="P108" s="2"/>
    </row>
    <row r="109" spans="4:16">
      <c r="H109" s="7"/>
      <c r="I109" s="2"/>
      <c r="J109" s="2"/>
      <c r="K109" s="12"/>
      <c r="L109" s="2"/>
      <c r="M109" s="2"/>
      <c r="N109" s="2"/>
      <c r="O109" s="2"/>
      <c r="P109" s="2"/>
    </row>
    <row r="110" spans="4:16">
      <c r="H110" s="7"/>
      <c r="I110" s="2"/>
      <c r="J110" s="2"/>
      <c r="K110" s="12"/>
      <c r="L110" s="2"/>
      <c r="M110" s="2"/>
      <c r="N110" s="2"/>
      <c r="O110" s="2"/>
      <c r="P110" s="2"/>
    </row>
    <row r="111" spans="4:16">
      <c r="H111" s="7"/>
      <c r="I111" s="2"/>
      <c r="J111" s="2"/>
      <c r="K111" s="12"/>
      <c r="L111" s="2"/>
      <c r="M111" s="2"/>
      <c r="N111" s="2"/>
      <c r="O111" s="2"/>
      <c r="P111" s="2"/>
    </row>
    <row r="112" spans="4:16">
      <c r="H112" s="7"/>
      <c r="I112" s="2"/>
      <c r="J112" s="2"/>
      <c r="K112" s="11"/>
      <c r="L112" s="2"/>
      <c r="M112" s="2"/>
      <c r="N112" s="2"/>
      <c r="O112" s="2"/>
      <c r="P112" s="2"/>
    </row>
    <row r="113" spans="8:16">
      <c r="H113" s="7"/>
      <c r="I113" s="2"/>
      <c r="J113" s="2"/>
      <c r="K113" s="2"/>
      <c r="L113" s="2"/>
      <c r="M113" s="2"/>
      <c r="N113" s="2"/>
      <c r="O113" s="2"/>
      <c r="P113" s="2"/>
    </row>
    <row r="114" spans="8:16">
      <c r="H114" s="7"/>
      <c r="I114" s="2"/>
      <c r="J114" s="2"/>
      <c r="K114" s="2"/>
      <c r="L114" s="2"/>
      <c r="M114" s="2"/>
      <c r="N114" s="2"/>
      <c r="O114" s="2"/>
      <c r="P114" s="2"/>
    </row>
    <row r="115" spans="8:16">
      <c r="H115" s="7"/>
      <c r="I115" s="2"/>
      <c r="J115" s="2"/>
      <c r="K115" s="2"/>
      <c r="L115" s="2"/>
      <c r="M115" s="2"/>
      <c r="N115" s="2"/>
      <c r="O115" s="2"/>
      <c r="P115" s="2"/>
    </row>
    <row r="116" spans="8:16">
      <c r="H116" s="7"/>
      <c r="I116" s="2"/>
      <c r="J116" s="2"/>
      <c r="K116" s="2"/>
      <c r="L116" s="2"/>
      <c r="M116" s="2"/>
      <c r="N116" s="2"/>
      <c r="O116" s="2"/>
      <c r="P116" s="2"/>
    </row>
    <row r="117" spans="8:16">
      <c r="I117" s="2"/>
      <c r="J117" s="2"/>
      <c r="K117" s="2"/>
      <c r="L117" s="2"/>
      <c r="M117" s="2"/>
      <c r="N117" s="2"/>
      <c r="O117" s="2"/>
      <c r="P117" s="2"/>
    </row>
  </sheetData>
  <sheetProtection password="D9BE" sheet="1" objects="1" scenarios="1"/>
  <mergeCells count="8">
    <mergeCell ref="E16:F16"/>
    <mergeCell ref="E47:G47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2:I324"/>
  <sheetViews>
    <sheetView zoomScaleNormal="100" workbookViewId="0">
      <pane ySplit="4" topLeftCell="A5" activePane="bottomLeft" state="frozen"/>
      <selection pane="bottomLeft" activeCell="B4" sqref="B4"/>
    </sheetView>
  </sheetViews>
  <sheetFormatPr defaultRowHeight="12.75"/>
  <cols>
    <col min="3" max="3" width="10.28515625" customWidth="1"/>
    <col min="4" max="4" width="5.28515625" customWidth="1"/>
    <col min="5" max="5" width="4.5703125" customWidth="1"/>
    <col min="6" max="6" width="5" customWidth="1"/>
    <col min="7" max="7" width="110.85546875" customWidth="1"/>
  </cols>
  <sheetData>
    <row r="2" spans="2:9">
      <c r="B2" s="216" t="s">
        <v>294</v>
      </c>
      <c r="C2" s="203" t="str">
        <f>IF(ISERROR(VLOOKUP(B2,Data!$F$3:$H$500,3,FALSE)),"N/A",VLOOKUP(B2,Data!$F$3:$H$500,3,FALSE))</f>
        <v>N/A</v>
      </c>
      <c r="D2" s="218" t="str">
        <f>IF(ISERROR(FIND(".",C2))," ",LEFT(C2,FIND(".",C2)-1))</f>
        <v xml:space="preserve"> </v>
      </c>
      <c r="E2" s="218" t="str">
        <f>IF(ISERROR(FIND(".",C2))," ",LEFT(RIGHT(C2,LEN(C2)-FIND(".",C2)),FIND(".",RIGHT(C2,LEN(C2)-FIND(".",C2)))-1))</f>
        <v xml:space="preserve"> </v>
      </c>
      <c r="F2" s="218" t="str">
        <f>IF(ISERROR(FIND("(",C2))," ",MID(C2,FIND("(",C2)+1,FIND(")",C2)-FIND("(",C2)-1))</f>
        <v xml:space="preserve"> </v>
      </c>
      <c r="G2" s="204" t="str">
        <f>IF(ISERROR(INDEX(Data!$C$3:$F$500,MATCH('Item IDs'!B2,Data!$F$3:$F$500,0),1)),"NOT ASSIGNED",INDEX(Data!$C$3:$F$500,MATCH('Item IDs'!B2,Data!$F$3:$F$500,0),1))</f>
        <v>NOT ASSIGNED</v>
      </c>
      <c r="H2" s="216" t="s">
        <v>295</v>
      </c>
      <c r="I2" s="217">
        <f>MAX(Data!F5:F500)</f>
        <v>1177</v>
      </c>
    </row>
    <row r="3" spans="2:9" ht="15" customHeight="1">
      <c r="B3" s="205"/>
      <c r="C3" s="205"/>
      <c r="D3" s="205"/>
      <c r="E3" s="205"/>
      <c r="F3" s="205"/>
      <c r="G3" s="215"/>
    </row>
    <row r="4" spans="2:9" ht="30" customHeight="1">
      <c r="B4" s="226" t="s">
        <v>248</v>
      </c>
      <c r="C4" s="227" t="s">
        <v>296</v>
      </c>
      <c r="D4" s="227" t="s">
        <v>297</v>
      </c>
      <c r="E4" s="227" t="s">
        <v>298</v>
      </c>
      <c r="F4" s="227" t="s">
        <v>299</v>
      </c>
      <c r="G4" s="228" t="s">
        <v>293</v>
      </c>
    </row>
    <row r="5" spans="2:9">
      <c r="B5" s="206">
        <v>1001</v>
      </c>
      <c r="C5" s="207" t="str">
        <f>IF(ISERROR(VLOOKUP(B5,Data!$F$3:$H$500,3,FALSE)),"N/A",VLOOKUP(B5,Data!$F$3:$H$500,3,FALSE))</f>
        <v>1.a.(1)</v>
      </c>
      <c r="D5" s="224" t="str">
        <f t="shared" ref="D5:D68" si="0">IF(ISERROR(FIND(".",C5))," ",LEFT(C5,FIND(".",C5)-1))</f>
        <v>1</v>
      </c>
      <c r="E5" s="219" t="str">
        <f t="shared" ref="E5:E68" si="1">IF(ISERROR(FIND(".",C5))," ",LEFT(RIGHT(C5,LEN(C5)-FIND(".",C5)),FIND(".",RIGHT(C5,LEN(C5)-FIND(".",C5)))-1))</f>
        <v>a</v>
      </c>
      <c r="F5" s="224" t="str">
        <f t="shared" ref="F5:F68" si="2">IF(ISERROR(FIND("(",C5))," ",MID(C5,FIND("(",C5)+1,FIND(")",C5)-FIND("(",C5)-1))</f>
        <v>1</v>
      </c>
      <c r="G5" s="208" t="str">
        <f>IF(ISERROR(INDEX(Data!$C$3:$F$500,MATCH('Item IDs'!B5,Data!$F$3:$F$500,0),1)),"NOT ASSIGNED",INDEX(Data!$C$3:$F$500,MATCH('Item IDs'!B5,Data!$F$3:$F$500,0),1))</f>
        <v>(1) Country code</v>
      </c>
    </row>
    <row r="6" spans="2:9">
      <c r="B6" s="209">
        <v>1002</v>
      </c>
      <c r="C6" s="210" t="str">
        <f>IF(ISERROR(VLOOKUP(B6,Data!$F$3:$H$500,3,FALSE)),"N/A",VLOOKUP(B6,Data!$F$3:$H$500,3,FALSE))</f>
        <v>1.a.(2)</v>
      </c>
      <c r="D6" s="225" t="str">
        <f t="shared" si="0"/>
        <v>1</v>
      </c>
      <c r="E6" s="220" t="str">
        <f t="shared" si="1"/>
        <v>a</v>
      </c>
      <c r="F6" s="225" t="str">
        <f t="shared" si="2"/>
        <v>2</v>
      </c>
      <c r="G6" s="211" t="str">
        <f>IF(ISERROR(INDEX(Data!$C$3:$F$500,MATCH('Item IDs'!B6,Data!$F$3:$F$500,0),1)),"NOT ASSIGNED",INDEX(Data!$C$3:$F$500,MATCH('Item IDs'!B6,Data!$F$3:$F$500,0),1))</f>
        <v>(2) Bank name</v>
      </c>
    </row>
    <row r="7" spans="2:9">
      <c r="B7" s="209">
        <v>1003</v>
      </c>
      <c r="C7" s="210" t="str">
        <f>IF(ISERROR(VLOOKUP(B7,Data!$F$3:$H$500,3,FALSE)),"N/A",VLOOKUP(B7,Data!$F$3:$H$500,3,FALSE))</f>
        <v>1.a.(3)</v>
      </c>
      <c r="D7" s="225" t="str">
        <f t="shared" si="0"/>
        <v>1</v>
      </c>
      <c r="E7" s="220" t="str">
        <f t="shared" si="1"/>
        <v>a</v>
      </c>
      <c r="F7" s="225" t="str">
        <f t="shared" si="2"/>
        <v>3</v>
      </c>
      <c r="G7" s="211" t="str">
        <f>IF(ISERROR(INDEX(Data!$C$3:$F$500,MATCH('Item IDs'!B7,Data!$F$3:$F$500,0),1)),"NOT ASSIGNED",INDEX(Data!$C$3:$F$500,MATCH('Item IDs'!B7,Data!$F$3:$F$500,0),1))</f>
        <v>(3) Reporting date (yyyy-mm-dd)</v>
      </c>
    </row>
    <row r="8" spans="2:9">
      <c r="B8" s="209">
        <v>1004</v>
      </c>
      <c r="C8" s="210" t="str">
        <f>IF(ISERROR(VLOOKUP(B8,Data!$F$3:$H$500,3,FALSE)),"N/A",VLOOKUP(B8,Data!$F$3:$H$500,3,FALSE))</f>
        <v>1.a.(4)</v>
      </c>
      <c r="D8" s="225" t="str">
        <f t="shared" si="0"/>
        <v>1</v>
      </c>
      <c r="E8" s="220" t="str">
        <f t="shared" si="1"/>
        <v>a</v>
      </c>
      <c r="F8" s="225" t="str">
        <f t="shared" si="2"/>
        <v>4</v>
      </c>
      <c r="G8" s="211" t="str">
        <f>IF(ISERROR(INDEX(Data!$C$3:$F$500,MATCH('Item IDs'!B8,Data!$F$3:$F$500,0),1)),"NOT ASSIGNED",INDEX(Data!$C$3:$F$500,MATCH('Item IDs'!B8,Data!$F$3:$F$500,0),1))</f>
        <v>(4) Reporting currency</v>
      </c>
    </row>
    <row r="9" spans="2:9">
      <c r="B9" s="209">
        <v>1005</v>
      </c>
      <c r="C9" s="210" t="str">
        <f>IF(ISERROR(VLOOKUP(B9,Data!$F$3:$H$500,3,FALSE)),"N/A",VLOOKUP(B9,Data!$F$3:$H$500,3,FALSE))</f>
        <v>1.a.(5)</v>
      </c>
      <c r="D9" s="225" t="str">
        <f t="shared" si="0"/>
        <v>1</v>
      </c>
      <c r="E9" s="220" t="str">
        <f t="shared" si="1"/>
        <v>a</v>
      </c>
      <c r="F9" s="225" t="str">
        <f t="shared" si="2"/>
        <v>5</v>
      </c>
      <c r="G9" s="211" t="str">
        <f>IF(ISERROR(INDEX(Data!$C$3:$F$500,MATCH('Item IDs'!B9,Data!$F$3:$F$500,0),1)),"NOT ASSIGNED",INDEX(Data!$C$3:$F$500,MATCH('Item IDs'!B9,Data!$F$3:$F$500,0),1))</f>
        <v>(5) Euro conversion rate</v>
      </c>
    </row>
    <row r="10" spans="2:9">
      <c r="B10" s="209">
        <v>1006</v>
      </c>
      <c r="C10" s="210" t="str">
        <f>IF(ISERROR(VLOOKUP(B10,Data!$F$3:$H$500,3,FALSE)),"N/A",VLOOKUP(B10,Data!$F$3:$H$500,3,FALSE))</f>
        <v>1.a.(6)</v>
      </c>
      <c r="D10" s="225" t="str">
        <f t="shared" si="0"/>
        <v>1</v>
      </c>
      <c r="E10" s="220" t="str">
        <f t="shared" si="1"/>
        <v>a</v>
      </c>
      <c r="F10" s="225" t="str">
        <f t="shared" si="2"/>
        <v>6</v>
      </c>
      <c r="G10" s="211" t="str">
        <f>IF(ISERROR(INDEX(Data!$C$3:$F$500,MATCH('Item IDs'!B10,Data!$F$3:$F$500,0),1)),"NOT ASSIGNED",INDEX(Data!$C$3:$F$500,MATCH('Item IDs'!B10,Data!$F$3:$F$500,0),1))</f>
        <v>(6) Submission date (yyyy-mm-dd)</v>
      </c>
    </row>
    <row r="11" spans="2:9">
      <c r="B11" s="209">
        <v>1007</v>
      </c>
      <c r="C11" s="210" t="str">
        <f>IF(ISERROR(VLOOKUP(B11,Data!$F$3:$H$500,3,FALSE)),"N/A",VLOOKUP(B11,Data!$F$3:$H$500,3,FALSE))</f>
        <v>1.b.(1)</v>
      </c>
      <c r="D11" s="225" t="str">
        <f t="shared" si="0"/>
        <v>1</v>
      </c>
      <c r="E11" s="220" t="str">
        <f t="shared" si="1"/>
        <v>b</v>
      </c>
      <c r="F11" s="225" t="str">
        <f t="shared" si="2"/>
        <v>1</v>
      </c>
      <c r="G11" s="211" t="str">
        <f>IF(ISERROR(INDEX(Data!$C$3:$F$500,MATCH('Item IDs'!B11,Data!$F$3:$F$500,0),1)),"NOT ASSIGNED",INDEX(Data!$C$3:$F$500,MATCH('Item IDs'!B11,Data!$F$3:$F$500,0),1))</f>
        <v>(1) Reporting unit</v>
      </c>
    </row>
    <row r="12" spans="2:9">
      <c r="B12" s="209">
        <v>1008</v>
      </c>
      <c r="C12" s="210" t="str">
        <f>IF(ISERROR(VLOOKUP(B12,Data!$F$3:$H$500,3,FALSE)),"N/A",VLOOKUP(B12,Data!$F$3:$H$500,3,FALSE))</f>
        <v>1.b.(2)</v>
      </c>
      <c r="D12" s="225" t="str">
        <f t="shared" si="0"/>
        <v>1</v>
      </c>
      <c r="E12" s="220" t="str">
        <f t="shared" si="1"/>
        <v>b</v>
      </c>
      <c r="F12" s="225" t="str">
        <f t="shared" si="2"/>
        <v>2</v>
      </c>
      <c r="G12" s="211" t="str">
        <f>IF(ISERROR(INDEX(Data!$C$3:$F$500,MATCH('Item IDs'!B12,Data!$F$3:$F$500,0),1)),"NOT ASSIGNED",INDEX(Data!$C$3:$F$500,MATCH('Item IDs'!B12,Data!$F$3:$F$500,0),1))</f>
        <v>(2) Accounting standard</v>
      </c>
    </row>
    <row r="13" spans="2:9">
      <c r="B13" s="209">
        <v>1009</v>
      </c>
      <c r="C13" s="210" t="str">
        <f>IF(ISERROR(VLOOKUP(B13,Data!$F$3:$H$500,3,FALSE)),"N/A",VLOOKUP(B13,Data!$F$3:$H$500,3,FALSE))</f>
        <v>1.b.(3)</v>
      </c>
      <c r="D13" s="225" t="str">
        <f t="shared" si="0"/>
        <v>1</v>
      </c>
      <c r="E13" s="220" t="str">
        <f t="shared" si="1"/>
        <v>b</v>
      </c>
      <c r="F13" s="225" t="str">
        <f t="shared" si="2"/>
        <v>3</v>
      </c>
      <c r="G13" s="211" t="str">
        <f>IF(ISERROR(INDEX(Data!$C$3:$F$500,MATCH('Item IDs'!B13,Data!$F$3:$F$500,0),1)),"NOT ASSIGNED",INDEX(Data!$C$3:$F$500,MATCH('Item IDs'!B13,Data!$F$3:$F$500,0),1))</f>
        <v>(3) Date of public disclosure (yyyy-mm-dd)</v>
      </c>
    </row>
    <row r="14" spans="2:9">
      <c r="B14" s="209">
        <v>1010</v>
      </c>
      <c r="C14" s="210" t="str">
        <f>IF(ISERROR(VLOOKUP(B14,Data!$F$3:$H$500,3,FALSE)),"N/A",VLOOKUP(B14,Data!$F$3:$H$500,3,FALSE))</f>
        <v>1.b.(4)</v>
      </c>
      <c r="D14" s="225" t="str">
        <f t="shared" si="0"/>
        <v>1</v>
      </c>
      <c r="E14" s="220" t="str">
        <f t="shared" si="1"/>
        <v>b</v>
      </c>
      <c r="F14" s="220" t="str">
        <f t="shared" si="2"/>
        <v>4</v>
      </c>
      <c r="G14" s="211" t="str">
        <f>IF(ISERROR(INDEX(Data!$C$3:$F$500,MATCH('Item IDs'!B14,Data!$F$3:$F$500,0),1)),"NOT ASSIGNED",INDEX(Data!$C$3:$F$500,MATCH('Item IDs'!B14,Data!$F$3:$F$500,0),1))</f>
        <v>(4) Language of public disclosure</v>
      </c>
    </row>
    <row r="15" spans="2:9">
      <c r="B15" s="209">
        <v>1011</v>
      </c>
      <c r="C15" s="210" t="str">
        <f>IF(ISERROR(VLOOKUP(B15,Data!$F$3:$H$500,3,FALSE)),"N/A",VLOOKUP(B15,Data!$F$3:$H$500,3,FALSE))</f>
        <v>1.b.(5)</v>
      </c>
      <c r="D15" s="225" t="str">
        <f t="shared" si="0"/>
        <v>1</v>
      </c>
      <c r="E15" s="220" t="str">
        <f t="shared" si="1"/>
        <v>b</v>
      </c>
      <c r="F15" s="220" t="str">
        <f t="shared" si="2"/>
        <v>5</v>
      </c>
      <c r="G15" s="211" t="str">
        <f>IF(ISERROR(INDEX(Data!$C$3:$F$500,MATCH('Item IDs'!B15,Data!$F$3:$F$500,0),1)),"NOT ASSIGNED",INDEX(Data!$C$3:$F$500,MATCH('Item IDs'!B15,Data!$F$3:$F$500,0),1))</f>
        <v>(5) Web address of public disclosure</v>
      </c>
    </row>
    <row r="16" spans="2:9">
      <c r="B16" s="209">
        <v>1012</v>
      </c>
      <c r="C16" s="210" t="str">
        <f>IF(ISERROR(VLOOKUP(B16,Data!$F$3:$H$500,3,FALSE)),"N/A",VLOOKUP(B16,Data!$F$3:$H$500,3,FALSE))</f>
        <v>2.a.</v>
      </c>
      <c r="D16" s="225" t="str">
        <f t="shared" si="0"/>
        <v>2</v>
      </c>
      <c r="E16" s="220" t="str">
        <f t="shared" si="1"/>
        <v>a</v>
      </c>
      <c r="F16" s="220" t="str">
        <f t="shared" si="2"/>
        <v xml:space="preserve"> </v>
      </c>
      <c r="G16" s="211" t="str">
        <f>IF(ISERROR(INDEX(Data!$C$3:$F$500,MATCH('Item IDs'!B16,Data!$F$3:$F$500,0),1)),"NOT ASSIGNED",INDEX(Data!$C$3:$F$500,MATCH('Item IDs'!B16,Data!$F$3:$F$500,0),1))</f>
        <v>a. Counterparty exposure of derivatives contracts</v>
      </c>
    </row>
    <row r="17" spans="2:7">
      <c r="B17" s="209">
        <v>1013</v>
      </c>
      <c r="C17" s="210" t="str">
        <f>IF(ISERROR(VLOOKUP(B17,Data!$F$3:$H$500,3,FALSE)),"N/A",VLOOKUP(B17,Data!$F$3:$H$500,3,FALSE))</f>
        <v>2.b.</v>
      </c>
      <c r="D17" s="225" t="str">
        <f t="shared" si="0"/>
        <v>2</v>
      </c>
      <c r="E17" s="220" t="str">
        <f t="shared" si="1"/>
        <v>b</v>
      </c>
      <c r="F17" s="220" t="str">
        <f t="shared" si="2"/>
        <v xml:space="preserve"> </v>
      </c>
      <c r="G17" s="211" t="str">
        <f>IF(ISERROR(INDEX(Data!$C$3:$F$500,MATCH('Item IDs'!B17,Data!$F$3:$F$500,0),1)),"NOT ASSIGNED",INDEX(Data!$C$3:$F$500,MATCH('Item IDs'!B17,Data!$F$3:$F$500,0),1))</f>
        <v>b. Gross value of securities financing transactions (SFTs)</v>
      </c>
    </row>
    <row r="18" spans="2:7">
      <c r="B18" s="209">
        <v>1014</v>
      </c>
      <c r="C18" s="210" t="str">
        <f>IF(ISERROR(VLOOKUP(B18,Data!$F$3:$H$500,3,FALSE)),"N/A",VLOOKUP(B18,Data!$F$3:$H$500,3,FALSE))</f>
        <v>2.c.</v>
      </c>
      <c r="D18" s="225" t="str">
        <f t="shared" si="0"/>
        <v>2</v>
      </c>
      <c r="E18" s="220" t="str">
        <f t="shared" si="1"/>
        <v>c</v>
      </c>
      <c r="F18" s="225" t="str">
        <f t="shared" si="2"/>
        <v xml:space="preserve"> </v>
      </c>
      <c r="G18" s="211" t="str">
        <f>IF(ISERROR(INDEX(Data!$C$3:$F$500,MATCH('Item IDs'!B18,Data!$F$3:$F$500,0),1)),"NOT ASSIGNED",INDEX(Data!$C$3:$F$500,MATCH('Item IDs'!B18,Data!$F$3:$F$500,0),1))</f>
        <v>c. Counterparty exposure of SFTs</v>
      </c>
    </row>
    <row r="19" spans="2:7">
      <c r="B19" s="209">
        <v>1015</v>
      </c>
      <c r="C19" s="210" t="str">
        <f>IF(ISERROR(VLOOKUP(B19,Data!$F$3:$H$500,3,FALSE)),"N/A",VLOOKUP(B19,Data!$F$3:$H$500,3,FALSE))</f>
        <v>2.d.</v>
      </c>
      <c r="D19" s="225" t="str">
        <f t="shared" si="0"/>
        <v>2</v>
      </c>
      <c r="E19" s="220" t="str">
        <f t="shared" si="1"/>
        <v>d</v>
      </c>
      <c r="F19" s="220" t="str">
        <f t="shared" si="2"/>
        <v xml:space="preserve"> </v>
      </c>
      <c r="G19" s="211" t="str">
        <f>IF(ISERROR(INDEX(Data!$C$3:$F$500,MATCH('Item IDs'!B19,Data!$F$3:$F$500,0),1)),"NOT ASSIGNED",INDEX(Data!$C$3:$F$500,MATCH('Item IDs'!B19,Data!$F$3:$F$500,0),1))</f>
        <v>d. Other assets</v>
      </c>
    </row>
    <row r="20" spans="2:7">
      <c r="B20" s="209">
        <v>1016</v>
      </c>
      <c r="C20" s="210" t="str">
        <f>IF(ISERROR(VLOOKUP(B20,Data!$F$3:$H$500,3,FALSE)),"N/A",VLOOKUP(B20,Data!$F$3:$H$500,3,FALSE))</f>
        <v>2.d.(1)</v>
      </c>
      <c r="D20" s="225" t="str">
        <f t="shared" si="0"/>
        <v>2</v>
      </c>
      <c r="E20" s="220" t="str">
        <f t="shared" si="1"/>
        <v>d</v>
      </c>
      <c r="F20" s="220" t="str">
        <f t="shared" si="2"/>
        <v>1</v>
      </c>
      <c r="G20" s="211" t="str">
        <f>IF(ISERROR(INDEX(Data!$C$3:$F$500,MATCH('Item IDs'!B20,Data!$F$3:$F$500,0),1)),"NOT ASSIGNED",INDEX(Data!$C$3:$F$500,MATCH('Item IDs'!B20,Data!$F$3:$F$500,0),1))</f>
        <v>(1) Securities received in SFTs that are recognised as assets</v>
      </c>
    </row>
    <row r="21" spans="2:7">
      <c r="B21" s="209">
        <v>1017</v>
      </c>
      <c r="C21" s="210" t="str">
        <f>IF(ISERROR(VLOOKUP(B21,Data!$F$3:$H$500,3,FALSE)),"N/A",VLOOKUP(B21,Data!$F$3:$H$500,3,FALSE))</f>
        <v>2.e.</v>
      </c>
      <c r="D21" s="225" t="str">
        <f t="shared" si="0"/>
        <v>2</v>
      </c>
      <c r="E21" s="220" t="str">
        <f t="shared" si="1"/>
        <v>e</v>
      </c>
      <c r="F21" s="220" t="str">
        <f t="shared" si="2"/>
        <v xml:space="preserve"> </v>
      </c>
      <c r="G21" s="211" t="str">
        <f>IF(ISERROR(INDEX(Data!$C$3:$F$500,MATCH('Item IDs'!B21,Data!$F$3:$F$500,0),1)),"NOT ASSIGNED",INDEX(Data!$C$3:$F$500,MATCH('Item IDs'!B21,Data!$F$3:$F$500,0),1))</f>
        <v>e. Total on-balance-sheet items (sum of items 2.a, 2.b, 2.c, and 2.d, minus 2.d.(1))</v>
      </c>
    </row>
    <row r="22" spans="2:7">
      <c r="B22" s="209">
        <v>1018</v>
      </c>
      <c r="C22" s="210" t="str">
        <f>IF(ISERROR(VLOOKUP(B22,Data!$F$3:$H$500,3,FALSE)),"N/A",VLOOKUP(B22,Data!$F$3:$H$500,3,FALSE))</f>
        <v>2.f.</v>
      </c>
      <c r="D22" s="225" t="str">
        <f t="shared" si="0"/>
        <v>2</v>
      </c>
      <c r="E22" s="220" t="str">
        <f t="shared" si="1"/>
        <v>f</v>
      </c>
      <c r="F22" s="225" t="str">
        <f t="shared" si="2"/>
        <v xml:space="preserve"> </v>
      </c>
      <c r="G22" s="211" t="str">
        <f>IF(ISERROR(INDEX(Data!$C$3:$F$500,MATCH('Item IDs'!B22,Data!$F$3:$F$500,0),1)),"NOT ASSIGNED",INDEX(Data!$C$3:$F$500,MATCH('Item IDs'!B22,Data!$F$3:$F$500,0),1))</f>
        <v>f. Potential future exposure of derivative contracts</v>
      </c>
    </row>
    <row r="23" spans="2:7">
      <c r="B23" s="209">
        <v>1019</v>
      </c>
      <c r="C23" s="210" t="str">
        <f>IF(ISERROR(VLOOKUP(B23,Data!$F$3:$H$500,3,FALSE)),"N/A",VLOOKUP(B23,Data!$F$3:$H$500,3,FALSE))</f>
        <v>2.g.</v>
      </c>
      <c r="D23" s="225" t="str">
        <f t="shared" si="0"/>
        <v>2</v>
      </c>
      <c r="E23" s="220" t="str">
        <f t="shared" si="1"/>
        <v>g</v>
      </c>
      <c r="F23" s="225" t="str">
        <f t="shared" si="2"/>
        <v xml:space="preserve"> </v>
      </c>
      <c r="G23" s="211" t="str">
        <f>IF(ISERROR(INDEX(Data!$C$3:$F$500,MATCH('Item IDs'!B23,Data!$F$3:$F$500,0),1)),"NOT ASSIGNED",INDEX(Data!$C$3:$F$500,MATCH('Item IDs'!B23,Data!$F$3:$F$500,0),1))</f>
        <v>g. Notional amount of off-balance-sheet items with a 0% credit conversion factor</v>
      </c>
    </row>
    <row r="24" spans="2:7">
      <c r="B24" s="209">
        <v>1020</v>
      </c>
      <c r="C24" s="210" t="str">
        <f>IF(ISERROR(VLOOKUP(B24,Data!$F$3:$H$500,3,FALSE)),"N/A",VLOOKUP(B24,Data!$F$3:$H$500,3,FALSE))</f>
        <v>2.g.(1)</v>
      </c>
      <c r="D24" s="225" t="str">
        <f t="shared" si="0"/>
        <v>2</v>
      </c>
      <c r="E24" s="220" t="str">
        <f t="shared" si="1"/>
        <v>g</v>
      </c>
      <c r="F24" s="220" t="str">
        <f t="shared" si="2"/>
        <v>1</v>
      </c>
      <c r="G24" s="211" t="str">
        <f>IF(ISERROR(INDEX(Data!$C$3:$F$500,MATCH('Item IDs'!B24,Data!$F$3:$F$500,0),1)),"NOT ASSIGNED",INDEX(Data!$C$3:$F$500,MATCH('Item IDs'!B24,Data!$F$3:$F$500,0),1))</f>
        <v>(1) Unconditionally cancellable credit card commitments</v>
      </c>
    </row>
    <row r="25" spans="2:7">
      <c r="B25" s="209">
        <v>1021</v>
      </c>
      <c r="C25" s="210" t="str">
        <f>IF(ISERROR(VLOOKUP(B25,Data!$F$3:$H$500,3,FALSE)),"N/A",VLOOKUP(B25,Data!$F$3:$H$500,3,FALSE))</f>
        <v>2.g.(2)</v>
      </c>
      <c r="D25" s="225" t="str">
        <f t="shared" si="0"/>
        <v>2</v>
      </c>
      <c r="E25" s="220" t="str">
        <f t="shared" si="1"/>
        <v>g</v>
      </c>
      <c r="F25" s="220" t="str">
        <f t="shared" si="2"/>
        <v>2</v>
      </c>
      <c r="G25" s="211" t="str">
        <f>IF(ISERROR(INDEX(Data!$C$3:$F$500,MATCH('Item IDs'!B25,Data!$F$3:$F$500,0),1)),"NOT ASSIGNED",INDEX(Data!$C$3:$F$500,MATCH('Item IDs'!B25,Data!$F$3:$F$500,0),1))</f>
        <v xml:space="preserve">(2) Other unconditionally cancellable commitments </v>
      </c>
    </row>
    <row r="26" spans="2:7">
      <c r="B26" s="209">
        <v>1022</v>
      </c>
      <c r="C26" s="210" t="str">
        <f>IF(ISERROR(VLOOKUP(B26,Data!$F$3:$H$500,3,FALSE)),"N/A",VLOOKUP(B26,Data!$F$3:$H$500,3,FALSE))</f>
        <v>2.h.</v>
      </c>
      <c r="D26" s="225" t="str">
        <f t="shared" si="0"/>
        <v>2</v>
      </c>
      <c r="E26" s="220" t="str">
        <f t="shared" si="1"/>
        <v>h</v>
      </c>
      <c r="F26" s="220" t="str">
        <f t="shared" si="2"/>
        <v xml:space="preserve"> </v>
      </c>
      <c r="G26" s="211" t="str">
        <f>IF(ISERROR(INDEX(Data!$C$3:$F$500,MATCH('Item IDs'!B26,Data!$F$3:$F$500,0),1)),"NOT ASSIGNED",INDEX(Data!$C$3:$F$500,MATCH('Item IDs'!B26,Data!$F$3:$F$500,0),1))</f>
        <v>h. Notional amount of off-balance-sheet items with a 20% credit conversion factor</v>
      </c>
    </row>
    <row r="27" spans="2:7">
      <c r="B27" s="209">
        <v>1023</v>
      </c>
      <c r="C27" s="210" t="str">
        <f>IF(ISERROR(VLOOKUP(B27,Data!$F$3:$H$500,3,FALSE)),"N/A",VLOOKUP(B27,Data!$F$3:$H$500,3,FALSE))</f>
        <v>2.i.</v>
      </c>
      <c r="D27" s="225" t="str">
        <f t="shared" si="0"/>
        <v>2</v>
      </c>
      <c r="E27" s="220" t="str">
        <f t="shared" si="1"/>
        <v>i</v>
      </c>
      <c r="F27" s="220" t="str">
        <f t="shared" si="2"/>
        <v xml:space="preserve"> </v>
      </c>
      <c r="G27" s="211" t="str">
        <f>IF(ISERROR(INDEX(Data!$C$3:$F$500,MATCH('Item IDs'!B27,Data!$F$3:$F$500,0),1)),"NOT ASSIGNED",INDEX(Data!$C$3:$F$500,MATCH('Item IDs'!B27,Data!$F$3:$F$500,0),1))</f>
        <v>i. Notional amount of off-balance-sheet items with a 50% credit conversion factor</v>
      </c>
    </row>
    <row r="28" spans="2:7">
      <c r="B28" s="209">
        <v>1024</v>
      </c>
      <c r="C28" s="210" t="str">
        <f>IF(ISERROR(VLOOKUP(B28,Data!$F$3:$H$500,3,FALSE)),"N/A",VLOOKUP(B28,Data!$F$3:$H$500,3,FALSE))</f>
        <v>2.j.</v>
      </c>
      <c r="D28" s="225" t="str">
        <f t="shared" si="0"/>
        <v>2</v>
      </c>
      <c r="E28" s="220" t="str">
        <f t="shared" si="1"/>
        <v>j</v>
      </c>
      <c r="F28" s="225" t="str">
        <f t="shared" si="2"/>
        <v xml:space="preserve"> </v>
      </c>
      <c r="G28" s="211" t="str">
        <f>IF(ISERROR(INDEX(Data!$C$3:$F$500,MATCH('Item IDs'!B28,Data!$F$3:$F$500,0),1)),"NOT ASSIGNED",INDEX(Data!$C$3:$F$500,MATCH('Item IDs'!B28,Data!$F$3:$F$500,0),1))</f>
        <v>j. Notional amount of off-balance-sheet items with a 100% credit conversion factor</v>
      </c>
    </row>
    <row r="29" spans="2:7">
      <c r="B29" s="209">
        <v>1025</v>
      </c>
      <c r="C29" s="210" t="str">
        <f>IF(ISERROR(VLOOKUP(B29,Data!$F$3:$H$500,3,FALSE)),"N/A",VLOOKUP(B29,Data!$F$3:$H$500,3,FALSE))</f>
        <v>2.k.</v>
      </c>
      <c r="D29" s="225" t="str">
        <f t="shared" si="0"/>
        <v>2</v>
      </c>
      <c r="E29" s="220" t="str">
        <f t="shared" si="1"/>
        <v>k</v>
      </c>
      <c r="F29" s="225" t="str">
        <f t="shared" si="2"/>
        <v xml:space="preserve"> </v>
      </c>
      <c r="G29" s="211">
        <f>IF(ISERROR(INDEX(Data!$C$3:$F$500,MATCH('Item IDs'!B29,Data!$F$3:$F$500,0),1)),"NOT ASSIGNED",INDEX(Data!$C$3:$F$500,MATCH('Item IDs'!B29,Data!$F$3:$F$500,0),1))</f>
        <v>0</v>
      </c>
    </row>
    <row r="30" spans="2:7">
      <c r="B30" s="209">
        <v>1026</v>
      </c>
      <c r="C30" s="210" t="str">
        <f>IF(ISERROR(VLOOKUP(B30,Data!$F$3:$H$500,3,FALSE)),"N/A",VLOOKUP(B30,Data!$F$3:$H$500,3,FALSE))</f>
        <v>2.l.(1)</v>
      </c>
      <c r="D30" s="225" t="str">
        <f t="shared" si="0"/>
        <v>2</v>
      </c>
      <c r="E30" s="220" t="str">
        <f t="shared" si="1"/>
        <v>l</v>
      </c>
      <c r="F30" s="225" t="str">
        <f t="shared" si="2"/>
        <v>1</v>
      </c>
      <c r="G30" s="211" t="str">
        <f>IF(ISERROR(INDEX(Data!$C$3:$F$500,MATCH('Item IDs'!B30,Data!$F$3:$F$500,0),1)),"NOT ASSIGNED",INDEX(Data!$C$3:$F$500,MATCH('Item IDs'!B30,Data!$F$3:$F$500,0),1))</f>
        <v>(1) On-balance-sheet assets</v>
      </c>
    </row>
    <row r="31" spans="2:7">
      <c r="B31" s="209">
        <v>1027</v>
      </c>
      <c r="C31" s="210" t="str">
        <f>IF(ISERROR(VLOOKUP(B31,Data!$F$3:$H$500,3,FALSE)),"N/A",VLOOKUP(B31,Data!$F$3:$H$500,3,FALSE))</f>
        <v>2.l.(2)</v>
      </c>
      <c r="D31" s="225" t="str">
        <f t="shared" si="0"/>
        <v>2</v>
      </c>
      <c r="E31" s="220" t="str">
        <f t="shared" si="1"/>
        <v>l</v>
      </c>
      <c r="F31" s="225" t="str">
        <f t="shared" si="2"/>
        <v>2</v>
      </c>
      <c r="G31" s="211" t="str">
        <f>IF(ISERROR(INDEX(Data!$C$3:$F$500,MATCH('Item IDs'!B31,Data!$F$3:$F$500,0),1)),"NOT ASSIGNED",INDEX(Data!$C$3:$F$500,MATCH('Item IDs'!B31,Data!$F$3:$F$500,0),1))</f>
        <v>(2) Potential future exposure of derivatives contracts</v>
      </c>
    </row>
    <row r="32" spans="2:7">
      <c r="B32" s="209">
        <v>1028</v>
      </c>
      <c r="C32" s="210" t="str">
        <f>IF(ISERROR(VLOOKUP(B32,Data!$F$3:$H$500,3,FALSE)),"N/A",VLOOKUP(B32,Data!$F$3:$H$500,3,FALSE))</f>
        <v>2.l.(3)</v>
      </c>
      <c r="D32" s="225" t="str">
        <f t="shared" si="0"/>
        <v>2</v>
      </c>
      <c r="E32" s="220" t="str">
        <f t="shared" si="1"/>
        <v>l</v>
      </c>
      <c r="F32" s="225" t="str">
        <f t="shared" si="2"/>
        <v>3</v>
      </c>
      <c r="G32" s="211" t="str">
        <f>IF(ISERROR(INDEX(Data!$C$3:$F$500,MATCH('Item IDs'!B32,Data!$F$3:$F$500,0),1)),"NOT ASSIGNED",INDEX(Data!$C$3:$F$500,MATCH('Item IDs'!B32,Data!$F$3:$F$500,0),1))</f>
        <v>(3) Unconditionally cancellable commitments</v>
      </c>
    </row>
    <row r="33" spans="2:7">
      <c r="B33" s="209">
        <v>1029</v>
      </c>
      <c r="C33" s="210" t="str">
        <f>IF(ISERROR(VLOOKUP(B33,Data!$F$3:$H$500,3,FALSE)),"N/A",VLOOKUP(B33,Data!$F$3:$H$500,3,FALSE))</f>
        <v>2.l.(4)</v>
      </c>
      <c r="D33" s="225" t="str">
        <f t="shared" si="0"/>
        <v>2</v>
      </c>
      <c r="E33" s="220" t="str">
        <f t="shared" si="1"/>
        <v>l</v>
      </c>
      <c r="F33" s="220" t="str">
        <f t="shared" si="2"/>
        <v>4</v>
      </c>
      <c r="G33" s="211" t="str">
        <f>IF(ISERROR(INDEX(Data!$C$3:$F$500,MATCH('Item IDs'!B33,Data!$F$3:$F$500,0),1)),"NOT ASSIGNED",INDEX(Data!$C$3:$F$500,MATCH('Item IDs'!B33,Data!$F$3:$F$500,0),1))</f>
        <v>(4) Other off-balance-sheet commitments</v>
      </c>
    </row>
    <row r="34" spans="2:7">
      <c r="B34" s="209">
        <v>1030</v>
      </c>
      <c r="C34" s="210" t="str">
        <f>IF(ISERROR(VLOOKUP(B34,Data!$F$3:$H$500,3,FALSE)),"N/A",VLOOKUP(B34,Data!$F$3:$H$500,3,FALSE))</f>
        <v>2.l.(5)</v>
      </c>
      <c r="D34" s="225" t="str">
        <f t="shared" si="0"/>
        <v>2</v>
      </c>
      <c r="E34" s="220" t="str">
        <f t="shared" si="1"/>
        <v>l</v>
      </c>
      <c r="F34" s="225" t="str">
        <f t="shared" si="2"/>
        <v>5</v>
      </c>
      <c r="G34" s="211" t="str">
        <f>IF(ISERROR(INDEX(Data!$C$3:$F$500,MATCH('Item IDs'!B34,Data!$F$3:$F$500,0),1)),"NOT ASSIGNED",INDEX(Data!$C$3:$F$500,MATCH('Item IDs'!B34,Data!$F$3:$F$500,0),1))</f>
        <v>(5) Investment value in the consolidated entities</v>
      </c>
    </row>
    <row r="35" spans="2:7" ht="12.75" customHeight="1">
      <c r="B35" s="209">
        <v>1031</v>
      </c>
      <c r="C35" s="210" t="str">
        <f>IF(ISERROR(VLOOKUP(B35,Data!$F$3:$H$500,3,FALSE)),"N/A",VLOOKUP(B35,Data!$F$3:$H$500,3,FALSE))</f>
        <v>2.m.</v>
      </c>
      <c r="D35" s="225" t="str">
        <f t="shared" si="0"/>
        <v>2</v>
      </c>
      <c r="E35" s="220" t="str">
        <f t="shared" si="1"/>
        <v>m</v>
      </c>
      <c r="F35" s="220" t="str">
        <f t="shared" si="2"/>
        <v xml:space="preserve"> </v>
      </c>
      <c r="G35" s="211" t="str">
        <f>IF(ISERROR(INDEX(Data!$C$3:$F$500,MATCH('Item IDs'!B35,Data!$F$3:$F$500,0),1)),"NOT ASSIGNED",INDEX(Data!$C$3:$F$500,MATCH('Item IDs'!B35,Data!$F$3:$F$500,0),1))</f>
        <v>m. Regulatory adjustments</v>
      </c>
    </row>
    <row r="36" spans="2:7">
      <c r="B36" s="209">
        <v>1032</v>
      </c>
      <c r="C36" s="210" t="str">
        <f>IF(ISERROR(VLOOKUP(B36,Data!$F$3:$H$500,3,FALSE)),"N/A",VLOOKUP(B36,Data!$F$3:$H$500,3,FALSE))</f>
        <v>2.n.</v>
      </c>
      <c r="D36" s="225" t="str">
        <f t="shared" si="0"/>
        <v>2</v>
      </c>
      <c r="E36" s="220" t="str">
        <f t="shared" si="1"/>
        <v>n</v>
      </c>
      <c r="F36" s="220" t="str">
        <f t="shared" si="2"/>
        <v xml:space="preserve"> </v>
      </c>
      <c r="G36" s="211">
        <f>IF(ISERROR(INDEX(Data!$C$3:$F$500,MATCH('Item IDs'!B36,Data!$F$3:$F$500,0),1)),"NOT ASSIGNED",INDEX(Data!$C$3:$F$500,MATCH('Item IDs'!B36,Data!$F$3:$F$500,0),1))</f>
        <v>0</v>
      </c>
    </row>
    <row r="37" spans="2:7">
      <c r="B37" s="209">
        <v>1033</v>
      </c>
      <c r="C37" s="210" t="str">
        <f>IF(ISERROR(VLOOKUP(B37,Data!$F$3:$H$500,3,FALSE)),"N/A",VLOOKUP(B37,Data!$F$3:$H$500,3,FALSE))</f>
        <v>3.a.</v>
      </c>
      <c r="D37" s="225" t="str">
        <f t="shared" si="0"/>
        <v>3</v>
      </c>
      <c r="E37" s="220" t="str">
        <f t="shared" si="1"/>
        <v>a</v>
      </c>
      <c r="F37" s="225" t="str">
        <f t="shared" si="2"/>
        <v xml:space="preserve"> </v>
      </c>
      <c r="G37" s="211" t="str">
        <f>IF(ISERROR(INDEX(Data!$C$3:$F$500,MATCH('Item IDs'!B37,Data!$F$3:$F$500,0),1)),"NOT ASSIGNED",INDEX(Data!$C$3:$F$500,MATCH('Item IDs'!B37,Data!$F$3:$F$500,0),1))</f>
        <v>a. Funds deposited with or lent to other financial institutions</v>
      </c>
    </row>
    <row r="38" spans="2:7">
      <c r="B38" s="209">
        <v>1034</v>
      </c>
      <c r="C38" s="210" t="str">
        <f>IF(ISERROR(VLOOKUP(B38,Data!$F$3:$H$500,3,FALSE)),"N/A",VLOOKUP(B38,Data!$F$3:$H$500,3,FALSE))</f>
        <v>3.a.(1)</v>
      </c>
      <c r="D38" s="225" t="str">
        <f t="shared" si="0"/>
        <v>3</v>
      </c>
      <c r="E38" s="220" t="str">
        <f t="shared" si="1"/>
        <v>a</v>
      </c>
      <c r="F38" s="220" t="str">
        <f t="shared" si="2"/>
        <v>1</v>
      </c>
      <c r="G38" s="211" t="str">
        <f>IF(ISERROR(INDEX(Data!$C$3:$F$500,MATCH('Item IDs'!B38,Data!$F$3:$F$500,0),1)),"NOT ASSIGNED",INDEX(Data!$C$3:$F$500,MATCH('Item IDs'!B38,Data!$F$3:$F$500,0),1))</f>
        <v xml:space="preserve">(1) Certificates of deposit </v>
      </c>
    </row>
    <row r="39" spans="2:7">
      <c r="B39" s="209">
        <v>1035</v>
      </c>
      <c r="C39" s="210" t="str">
        <f>IF(ISERROR(VLOOKUP(B39,Data!$F$3:$H$500,3,FALSE)),"N/A",VLOOKUP(B39,Data!$F$3:$H$500,3,FALSE))</f>
        <v>3.b.</v>
      </c>
      <c r="D39" s="225" t="str">
        <f t="shared" si="0"/>
        <v>3</v>
      </c>
      <c r="E39" s="220" t="str">
        <f t="shared" si="1"/>
        <v>b</v>
      </c>
      <c r="F39" s="225" t="str">
        <f t="shared" si="2"/>
        <v xml:space="preserve"> </v>
      </c>
      <c r="G39" s="211" t="str">
        <f>IF(ISERROR(INDEX(Data!$C$3:$F$500,MATCH('Item IDs'!B39,Data!$F$3:$F$500,0),1)),"NOT ASSIGNED",INDEX(Data!$C$3:$F$500,MATCH('Item IDs'!B39,Data!$F$3:$F$500,0),1))</f>
        <v>b. Unused portion of committed lines extended to other financial institutions</v>
      </c>
    </row>
    <row r="40" spans="2:7">
      <c r="B40" s="209">
        <v>1036</v>
      </c>
      <c r="C40" s="210" t="str">
        <f>IF(ISERROR(VLOOKUP(B40,Data!$F$3:$H$500,3,FALSE)),"N/A",VLOOKUP(B40,Data!$F$3:$H$500,3,FALSE))</f>
        <v>3.c.(1)</v>
      </c>
      <c r="D40" s="225" t="str">
        <f t="shared" si="0"/>
        <v>3</v>
      </c>
      <c r="E40" s="220" t="str">
        <f t="shared" si="1"/>
        <v>c</v>
      </c>
      <c r="F40" s="225" t="str">
        <f t="shared" si="2"/>
        <v>1</v>
      </c>
      <c r="G40" s="211" t="str">
        <f>IF(ISERROR(INDEX(Data!$C$3:$F$500,MATCH('Item IDs'!B40,Data!$F$3:$F$500,0),1)),"NOT ASSIGNED",INDEX(Data!$C$3:$F$500,MATCH('Item IDs'!B40,Data!$F$3:$F$500,0),1))</f>
        <v>(1) Secured debt securities</v>
      </c>
    </row>
    <row r="41" spans="2:7">
      <c r="B41" s="209">
        <v>1037</v>
      </c>
      <c r="C41" s="210" t="str">
        <f>IF(ISERROR(VLOOKUP(B41,Data!$F$3:$H$500,3,FALSE)),"N/A",VLOOKUP(B41,Data!$F$3:$H$500,3,FALSE))</f>
        <v>3.c.(2)</v>
      </c>
      <c r="D41" s="225" t="str">
        <f t="shared" si="0"/>
        <v>3</v>
      </c>
      <c r="E41" s="220" t="str">
        <f t="shared" si="1"/>
        <v>c</v>
      </c>
      <c r="F41" s="225" t="str">
        <f t="shared" si="2"/>
        <v>2</v>
      </c>
      <c r="G41" s="211" t="str">
        <f>IF(ISERROR(INDEX(Data!$C$3:$F$500,MATCH('Item IDs'!B41,Data!$F$3:$F$500,0),1)),"NOT ASSIGNED",INDEX(Data!$C$3:$F$500,MATCH('Item IDs'!B41,Data!$F$3:$F$500,0),1))</f>
        <v>(2) Senior unsecured debt securities</v>
      </c>
    </row>
    <row r="42" spans="2:7">
      <c r="B42" s="209">
        <v>1038</v>
      </c>
      <c r="C42" s="210" t="str">
        <f>IF(ISERROR(VLOOKUP(B42,Data!$F$3:$H$500,3,FALSE)),"N/A",VLOOKUP(B42,Data!$F$3:$H$500,3,FALSE))</f>
        <v>3.c.(3)</v>
      </c>
      <c r="D42" s="225" t="str">
        <f t="shared" si="0"/>
        <v>3</v>
      </c>
      <c r="E42" s="220" t="str">
        <f t="shared" si="1"/>
        <v>c</v>
      </c>
      <c r="F42" s="225" t="str">
        <f t="shared" si="2"/>
        <v>3</v>
      </c>
      <c r="G42" s="211" t="str">
        <f>IF(ISERROR(INDEX(Data!$C$3:$F$500,MATCH('Item IDs'!B42,Data!$F$3:$F$500,0),1)),"NOT ASSIGNED",INDEX(Data!$C$3:$F$500,MATCH('Item IDs'!B42,Data!$F$3:$F$500,0),1))</f>
        <v>(3) Subordinated debt securities</v>
      </c>
    </row>
    <row r="43" spans="2:7">
      <c r="B43" s="209">
        <v>1039</v>
      </c>
      <c r="C43" s="210" t="str">
        <f>IF(ISERROR(VLOOKUP(B43,Data!$F$3:$H$500,3,FALSE)),"N/A",VLOOKUP(B43,Data!$F$3:$H$500,3,FALSE))</f>
        <v>3.c.(4)</v>
      </c>
      <c r="D43" s="225" t="str">
        <f t="shared" si="0"/>
        <v>3</v>
      </c>
      <c r="E43" s="220" t="str">
        <f t="shared" si="1"/>
        <v>c</v>
      </c>
      <c r="F43" s="225" t="str">
        <f t="shared" si="2"/>
        <v>4</v>
      </c>
      <c r="G43" s="211" t="str">
        <f>IF(ISERROR(INDEX(Data!$C$3:$F$500,MATCH('Item IDs'!B43,Data!$F$3:$F$500,0),1)),"NOT ASSIGNED",INDEX(Data!$C$3:$F$500,MATCH('Item IDs'!B43,Data!$F$3:$F$500,0),1))</f>
        <v xml:space="preserve">(4) Commercial paper </v>
      </c>
    </row>
    <row r="44" spans="2:7">
      <c r="B44" s="209">
        <v>1040</v>
      </c>
      <c r="C44" s="210" t="str">
        <f>IF(ISERROR(VLOOKUP(B44,Data!$F$3:$H$500,3,FALSE)),"N/A",VLOOKUP(B44,Data!$F$3:$H$500,3,FALSE))</f>
        <v>3.c.(5)</v>
      </c>
      <c r="D44" s="225" t="str">
        <f t="shared" si="0"/>
        <v>3</v>
      </c>
      <c r="E44" s="220" t="str">
        <f t="shared" si="1"/>
        <v>c</v>
      </c>
      <c r="F44" s="225" t="str">
        <f t="shared" si="2"/>
        <v>5</v>
      </c>
      <c r="G44" s="211" t="str">
        <f>IF(ISERROR(INDEX(Data!$C$3:$F$500,MATCH('Item IDs'!B44,Data!$F$3:$F$500,0),1)),"NOT ASSIGNED",INDEX(Data!$C$3:$F$500,MATCH('Item IDs'!B44,Data!$F$3:$F$500,0),1))</f>
        <v>(5) Equity securities</v>
      </c>
    </row>
    <row r="45" spans="2:7">
      <c r="B45" s="209">
        <v>1041</v>
      </c>
      <c r="C45" s="210" t="str">
        <f>IF(ISERROR(VLOOKUP(B45,Data!$F$3:$H$500,3,FALSE)),"N/A",VLOOKUP(B45,Data!$F$3:$H$500,3,FALSE))</f>
        <v>3.c.(6)</v>
      </c>
      <c r="D45" s="225" t="str">
        <f t="shared" si="0"/>
        <v>3</v>
      </c>
      <c r="E45" s="220" t="str">
        <f t="shared" si="1"/>
        <v>c</v>
      </c>
      <c r="F45" s="220" t="str">
        <f t="shared" si="2"/>
        <v>6</v>
      </c>
      <c r="G45" s="211" t="str">
        <f>IF(ISERROR(INDEX(Data!$C$3:$F$500,MATCH('Item IDs'!B45,Data!$F$3:$F$500,0),1)),"NOT ASSIGNED",INDEX(Data!$C$3:$F$500,MATCH('Item IDs'!B45,Data!$F$3:$F$500,0),1))</f>
        <v>(6) Offsetting short positions in relation to the specific equity securities included in item 3.c.(5)</v>
      </c>
    </row>
    <row r="46" spans="2:7">
      <c r="B46" s="209">
        <v>1042</v>
      </c>
      <c r="C46" s="210" t="str">
        <f>IF(ISERROR(VLOOKUP(B46,Data!$F$3:$H$500,3,FALSE)),"N/A",VLOOKUP(B46,Data!$F$3:$H$500,3,FALSE))</f>
        <v>3.d.</v>
      </c>
      <c r="D46" s="225" t="str">
        <f t="shared" si="0"/>
        <v>3</v>
      </c>
      <c r="E46" s="220" t="str">
        <f t="shared" si="1"/>
        <v>d</v>
      </c>
      <c r="F46" s="225" t="str">
        <f t="shared" si="2"/>
        <v xml:space="preserve"> </v>
      </c>
      <c r="G46" s="211" t="str">
        <f>IF(ISERROR(INDEX(Data!$C$3:$F$500,MATCH('Item IDs'!B46,Data!$F$3:$F$500,0),1)),"NOT ASSIGNED",INDEX(Data!$C$3:$F$500,MATCH('Item IDs'!B46,Data!$F$3:$F$500,0),1))</f>
        <v>d. Net positive current exposure of securities financing transactions with other financial institutions</v>
      </c>
    </row>
    <row r="47" spans="2:7">
      <c r="B47" s="209">
        <v>1043</v>
      </c>
      <c r="C47" s="210" t="str">
        <f>IF(ISERROR(VLOOKUP(B47,Data!$F$3:$H$500,3,FALSE)),"N/A",VLOOKUP(B47,Data!$F$3:$H$500,3,FALSE))</f>
        <v>3.e.(1)</v>
      </c>
      <c r="D47" s="225" t="str">
        <f t="shared" si="0"/>
        <v>3</v>
      </c>
      <c r="E47" s="220" t="str">
        <f t="shared" si="1"/>
        <v>e</v>
      </c>
      <c r="F47" s="225" t="str">
        <f t="shared" si="2"/>
        <v>1</v>
      </c>
      <c r="G47" s="211" t="str">
        <f>IF(ISERROR(INDEX(Data!$C$3:$F$500,MATCH('Item IDs'!B47,Data!$F$3:$F$500,0),1)),"NOT ASSIGNED",INDEX(Data!$C$3:$F$500,MATCH('Item IDs'!B47,Data!$F$3:$F$500,0),1))</f>
        <v>(1) Net positive fair value</v>
      </c>
    </row>
    <row r="48" spans="2:7">
      <c r="B48" s="209">
        <v>1044</v>
      </c>
      <c r="C48" s="210" t="str">
        <f>IF(ISERROR(VLOOKUP(B48,Data!$F$3:$H$500,3,FALSE)),"N/A",VLOOKUP(B48,Data!$F$3:$H$500,3,FALSE))</f>
        <v>3.e.(2)</v>
      </c>
      <c r="D48" s="225" t="str">
        <f t="shared" si="0"/>
        <v>3</v>
      </c>
      <c r="E48" s="220" t="str">
        <f t="shared" si="1"/>
        <v>e</v>
      </c>
      <c r="F48" s="220" t="str">
        <f t="shared" si="2"/>
        <v>2</v>
      </c>
      <c r="G48" s="211" t="str">
        <f>IF(ISERROR(INDEX(Data!$C$3:$F$500,MATCH('Item IDs'!B48,Data!$F$3:$F$500,0),1)),"NOT ASSIGNED",INDEX(Data!$C$3:$F$500,MATCH('Item IDs'!B48,Data!$F$3:$F$500,0),1))</f>
        <v>(2) Potential future exposure</v>
      </c>
    </row>
    <row r="49" spans="2:7">
      <c r="B49" s="209">
        <v>1045</v>
      </c>
      <c r="C49" s="210" t="str">
        <f>IF(ISERROR(VLOOKUP(B49,Data!$F$3:$H$500,3,FALSE)),"N/A",VLOOKUP(B49,Data!$F$3:$H$500,3,FALSE))</f>
        <v>3.f.</v>
      </c>
      <c r="D49" s="225" t="str">
        <f t="shared" si="0"/>
        <v>3</v>
      </c>
      <c r="E49" s="220" t="str">
        <f t="shared" si="1"/>
        <v>f</v>
      </c>
      <c r="F49" s="220" t="str">
        <f t="shared" si="2"/>
        <v xml:space="preserve"> </v>
      </c>
      <c r="G49" s="211">
        <f>IF(ISERROR(INDEX(Data!$C$3:$F$500,MATCH('Item IDs'!B49,Data!$F$3:$F$500,0),1)),"NOT ASSIGNED",INDEX(Data!$C$3:$F$500,MATCH('Item IDs'!B49,Data!$F$3:$F$500,0),1))</f>
        <v>0</v>
      </c>
    </row>
    <row r="50" spans="2:7">
      <c r="B50" s="209">
        <v>1046</v>
      </c>
      <c r="C50" s="210" t="str">
        <f>IF(ISERROR(VLOOKUP(B50,Data!$F$3:$H$500,3,FALSE)),"N/A",VLOOKUP(B50,Data!$F$3:$H$500,3,FALSE))</f>
        <v>4.a.</v>
      </c>
      <c r="D50" s="225" t="str">
        <f t="shared" si="0"/>
        <v>4</v>
      </c>
      <c r="E50" s="220" t="str">
        <f t="shared" si="1"/>
        <v>a</v>
      </c>
      <c r="F50" s="220" t="str">
        <f t="shared" si="2"/>
        <v xml:space="preserve"> </v>
      </c>
      <c r="G50" s="211" t="str">
        <f>IF(ISERROR(INDEX(Data!$C$3:$F$500,MATCH('Item IDs'!B50,Data!$F$3:$F$500,0),1)),"NOT ASSIGNED",INDEX(Data!$C$3:$F$500,MATCH('Item IDs'!B50,Data!$F$3:$F$500,0),1))</f>
        <v>a. Deposits due to depository institutions</v>
      </c>
    </row>
    <row r="51" spans="2:7">
      <c r="B51" s="209">
        <v>1047</v>
      </c>
      <c r="C51" s="210" t="str">
        <f>IF(ISERROR(VLOOKUP(B51,Data!$F$3:$H$500,3,FALSE)),"N/A",VLOOKUP(B51,Data!$F$3:$H$500,3,FALSE))</f>
        <v>4.b.</v>
      </c>
      <c r="D51" s="225" t="str">
        <f t="shared" si="0"/>
        <v>4</v>
      </c>
      <c r="E51" s="220" t="str">
        <f t="shared" si="1"/>
        <v>b</v>
      </c>
      <c r="F51" s="220" t="str">
        <f t="shared" si="2"/>
        <v xml:space="preserve"> </v>
      </c>
      <c r="G51" s="211" t="str">
        <f>IF(ISERROR(INDEX(Data!$C$3:$F$500,MATCH('Item IDs'!B51,Data!$F$3:$F$500,0),1)),"NOT ASSIGNED",INDEX(Data!$C$3:$F$500,MATCH('Item IDs'!B51,Data!$F$3:$F$500,0),1))</f>
        <v>b. Deposits due to non-depository financial institutions</v>
      </c>
    </row>
    <row r="52" spans="2:7">
      <c r="B52" s="209">
        <v>1048</v>
      </c>
      <c r="C52" s="210" t="str">
        <f>IF(ISERROR(VLOOKUP(B52,Data!$F$3:$H$500,3,FALSE)),"N/A",VLOOKUP(B52,Data!$F$3:$H$500,3,FALSE))</f>
        <v>4.c.</v>
      </c>
      <c r="D52" s="225" t="str">
        <f t="shared" si="0"/>
        <v>4</v>
      </c>
      <c r="E52" s="220" t="str">
        <f t="shared" si="1"/>
        <v>c</v>
      </c>
      <c r="F52" s="220" t="str">
        <f t="shared" si="2"/>
        <v xml:space="preserve"> </v>
      </c>
      <c r="G52" s="211" t="str">
        <f>IF(ISERROR(INDEX(Data!$C$3:$F$500,MATCH('Item IDs'!B52,Data!$F$3:$F$500,0),1)),"NOT ASSIGNED",INDEX(Data!$C$3:$F$500,MATCH('Item IDs'!B52,Data!$F$3:$F$500,0),1))</f>
        <v>c. Unused portion of committed lines obtained from other financial institutions</v>
      </c>
    </row>
    <row r="53" spans="2:7">
      <c r="B53" s="209">
        <v>1049</v>
      </c>
      <c r="C53" s="210" t="str">
        <f>IF(ISERROR(VLOOKUP(B53,Data!$F$3:$H$500,3,FALSE)),"N/A",VLOOKUP(B53,Data!$F$3:$H$500,3,FALSE))</f>
        <v>4.d.</v>
      </c>
      <c r="D53" s="225" t="str">
        <f t="shared" si="0"/>
        <v>4</v>
      </c>
      <c r="E53" s="220" t="str">
        <f t="shared" si="1"/>
        <v>d</v>
      </c>
      <c r="F53" s="225" t="str">
        <f t="shared" si="2"/>
        <v xml:space="preserve"> </v>
      </c>
      <c r="G53" s="211" t="str">
        <f>IF(ISERROR(INDEX(Data!$C$3:$F$500,MATCH('Item IDs'!B53,Data!$F$3:$F$500,0),1)),"NOT ASSIGNED",INDEX(Data!$C$3:$F$500,MATCH('Item IDs'!B53,Data!$F$3:$F$500,0),1))</f>
        <v>d. Net negative current exposure of securities financing transactions with other financial institutions</v>
      </c>
    </row>
    <row r="54" spans="2:7">
      <c r="B54" s="209">
        <v>1050</v>
      </c>
      <c r="C54" s="210" t="str">
        <f>IF(ISERROR(VLOOKUP(B54,Data!$F$3:$H$500,3,FALSE)),"N/A",VLOOKUP(B54,Data!$F$3:$H$500,3,FALSE))</f>
        <v>4.e.(1)</v>
      </c>
      <c r="D54" s="225" t="str">
        <f t="shared" si="0"/>
        <v>4</v>
      </c>
      <c r="E54" s="220" t="str">
        <f t="shared" si="1"/>
        <v>e</v>
      </c>
      <c r="F54" s="225" t="str">
        <f t="shared" si="2"/>
        <v>1</v>
      </c>
      <c r="G54" s="211" t="str">
        <f>IF(ISERROR(INDEX(Data!$C$3:$F$500,MATCH('Item IDs'!B54,Data!$F$3:$F$500,0),1)),"NOT ASSIGNED",INDEX(Data!$C$3:$F$500,MATCH('Item IDs'!B54,Data!$F$3:$F$500,0),1))</f>
        <v>(1) Net negative fair value</v>
      </c>
    </row>
    <row r="55" spans="2:7">
      <c r="B55" s="209">
        <v>1051</v>
      </c>
      <c r="C55" s="210" t="str">
        <f>IF(ISERROR(VLOOKUP(B55,Data!$F$3:$H$500,3,FALSE)),"N/A",VLOOKUP(B55,Data!$F$3:$H$500,3,FALSE))</f>
        <v>4.e.(2)</v>
      </c>
      <c r="D55" s="225" t="str">
        <f t="shared" si="0"/>
        <v>4</v>
      </c>
      <c r="E55" s="220" t="str">
        <f t="shared" si="1"/>
        <v>e</v>
      </c>
      <c r="F55" s="225" t="str">
        <f t="shared" si="2"/>
        <v>2</v>
      </c>
      <c r="G55" s="211" t="str">
        <f>IF(ISERROR(INDEX(Data!$C$3:$F$500,MATCH('Item IDs'!B55,Data!$F$3:$F$500,0),1)),"NOT ASSIGNED",INDEX(Data!$C$3:$F$500,MATCH('Item IDs'!B55,Data!$F$3:$F$500,0),1))</f>
        <v>(2) Potential future exposure</v>
      </c>
    </row>
    <row r="56" spans="2:7">
      <c r="B56" s="209">
        <v>1052</v>
      </c>
      <c r="C56" s="210" t="str">
        <f>IF(ISERROR(VLOOKUP(B56,Data!$F$3:$H$500,3,FALSE)),"N/A",VLOOKUP(B56,Data!$F$3:$H$500,3,FALSE))</f>
        <v>4.f.</v>
      </c>
      <c r="D56" s="225" t="str">
        <f t="shared" si="0"/>
        <v>4</v>
      </c>
      <c r="E56" s="220" t="str">
        <f t="shared" si="1"/>
        <v>f</v>
      </c>
      <c r="F56" s="225" t="str">
        <f t="shared" si="2"/>
        <v xml:space="preserve"> </v>
      </c>
      <c r="G56" s="211" t="str">
        <f>IF(ISERROR(INDEX(Data!$C$3:$F$500,MATCH('Item IDs'!B56,Data!$F$3:$F$500,0),1)),"NOT ASSIGNED",INDEX(Data!$C$3:$F$500,MATCH('Item IDs'!B56,Data!$F$3:$F$500,0),1))</f>
        <v>f. Intra-financial system liabilities indicator (sum of items 4.a through 4.e.(2))</v>
      </c>
    </row>
    <row r="57" spans="2:7">
      <c r="B57" s="209">
        <v>1053</v>
      </c>
      <c r="C57" s="210" t="str">
        <f>IF(ISERROR(VLOOKUP(B57,Data!$F$3:$H$500,3,FALSE)),"N/A",VLOOKUP(B57,Data!$F$3:$H$500,3,FALSE))</f>
        <v>5.a.</v>
      </c>
      <c r="D57" s="225" t="str">
        <f t="shared" si="0"/>
        <v>5</v>
      </c>
      <c r="E57" s="220" t="str">
        <f t="shared" si="1"/>
        <v>a</v>
      </c>
      <c r="F57" s="220" t="str">
        <f t="shared" si="2"/>
        <v xml:space="preserve"> </v>
      </c>
      <c r="G57" s="211" t="str">
        <f>IF(ISERROR(INDEX(Data!$C$3:$F$500,MATCH('Item IDs'!B57,Data!$F$3:$F$500,0),1)),"NOT ASSIGNED",INDEX(Data!$C$3:$F$500,MATCH('Item IDs'!B57,Data!$F$3:$F$500,0),1))</f>
        <v>a. Secured debt securities</v>
      </c>
    </row>
    <row r="58" spans="2:7">
      <c r="B58" s="209">
        <v>1054</v>
      </c>
      <c r="C58" s="210" t="str">
        <f>IF(ISERROR(VLOOKUP(B58,Data!$F$3:$H$500,3,FALSE)),"N/A",VLOOKUP(B58,Data!$F$3:$H$500,3,FALSE))</f>
        <v>5.b.</v>
      </c>
      <c r="D58" s="225" t="str">
        <f t="shared" si="0"/>
        <v>5</v>
      </c>
      <c r="E58" s="220" t="str">
        <f t="shared" si="1"/>
        <v>b</v>
      </c>
      <c r="F58" s="220" t="str">
        <f t="shared" si="2"/>
        <v xml:space="preserve"> </v>
      </c>
      <c r="G58" s="211" t="str">
        <f>IF(ISERROR(INDEX(Data!$C$3:$F$500,MATCH('Item IDs'!B58,Data!$F$3:$F$500,0),1)),"NOT ASSIGNED",INDEX(Data!$C$3:$F$500,MATCH('Item IDs'!B58,Data!$F$3:$F$500,0),1))</f>
        <v>b. Senior unsecured debt securities</v>
      </c>
    </row>
    <row r="59" spans="2:7">
      <c r="B59" s="209">
        <v>1055</v>
      </c>
      <c r="C59" s="210" t="str">
        <f>IF(ISERROR(VLOOKUP(B59,Data!$F$3:$H$500,3,FALSE)),"N/A",VLOOKUP(B59,Data!$F$3:$H$500,3,FALSE))</f>
        <v>5.c.</v>
      </c>
      <c r="D59" s="225" t="str">
        <f t="shared" si="0"/>
        <v>5</v>
      </c>
      <c r="E59" s="220" t="str">
        <f t="shared" si="1"/>
        <v>c</v>
      </c>
      <c r="F59" s="220" t="str">
        <f t="shared" si="2"/>
        <v xml:space="preserve"> </v>
      </c>
      <c r="G59" s="211" t="str">
        <f>IF(ISERROR(INDEX(Data!$C$3:$F$500,MATCH('Item IDs'!B59,Data!$F$3:$F$500,0),1)),"NOT ASSIGNED",INDEX(Data!$C$3:$F$500,MATCH('Item IDs'!B59,Data!$F$3:$F$500,0),1))</f>
        <v>c. Subordinated debt securities</v>
      </c>
    </row>
    <row r="60" spans="2:7">
      <c r="B60" s="209">
        <v>1056</v>
      </c>
      <c r="C60" s="210" t="str">
        <f>IF(ISERROR(VLOOKUP(B60,Data!$F$3:$H$500,3,FALSE)),"N/A",VLOOKUP(B60,Data!$F$3:$H$500,3,FALSE))</f>
        <v>5.d.</v>
      </c>
      <c r="D60" s="225" t="str">
        <f t="shared" si="0"/>
        <v>5</v>
      </c>
      <c r="E60" s="220" t="str">
        <f t="shared" si="1"/>
        <v>d</v>
      </c>
      <c r="F60" s="220" t="str">
        <f t="shared" si="2"/>
        <v xml:space="preserve"> </v>
      </c>
      <c r="G60" s="211" t="str">
        <f>IF(ISERROR(INDEX(Data!$C$3:$F$500,MATCH('Item IDs'!B60,Data!$F$3:$F$500,0),1)),"NOT ASSIGNED",INDEX(Data!$C$3:$F$500,MATCH('Item IDs'!B60,Data!$F$3:$F$500,0),1))</f>
        <v>d. Commercial paper</v>
      </c>
    </row>
    <row r="61" spans="2:7">
      <c r="B61" s="209">
        <v>1057</v>
      </c>
      <c r="C61" s="210" t="str">
        <f>IF(ISERROR(VLOOKUP(B61,Data!$F$3:$H$500,3,FALSE)),"N/A",VLOOKUP(B61,Data!$F$3:$H$500,3,FALSE))</f>
        <v>5.e.</v>
      </c>
      <c r="D61" s="225" t="str">
        <f t="shared" si="0"/>
        <v>5</v>
      </c>
      <c r="E61" s="220" t="str">
        <f t="shared" si="1"/>
        <v>e</v>
      </c>
      <c r="F61" s="220" t="str">
        <f t="shared" si="2"/>
        <v xml:space="preserve"> </v>
      </c>
      <c r="G61" s="211" t="str">
        <f>IF(ISERROR(INDEX(Data!$C$3:$F$500,MATCH('Item IDs'!B61,Data!$F$3:$F$500,0),1)),"NOT ASSIGNED",INDEX(Data!$C$3:$F$500,MATCH('Item IDs'!B61,Data!$F$3:$F$500,0),1))</f>
        <v>e. Certificates of deposit</v>
      </c>
    </row>
    <row r="62" spans="2:7">
      <c r="B62" s="209">
        <v>1058</v>
      </c>
      <c r="C62" s="210" t="str">
        <f>IF(ISERROR(VLOOKUP(B62,Data!$F$3:$H$500,3,FALSE)),"N/A",VLOOKUP(B62,Data!$F$3:$H$500,3,FALSE))</f>
        <v>5.f.</v>
      </c>
      <c r="D62" s="225" t="str">
        <f t="shared" si="0"/>
        <v>5</v>
      </c>
      <c r="E62" s="220" t="str">
        <f t="shared" si="1"/>
        <v>f</v>
      </c>
      <c r="F62" s="220" t="str">
        <f t="shared" si="2"/>
        <v xml:space="preserve"> </v>
      </c>
      <c r="G62" s="211" t="str">
        <f>IF(ISERROR(INDEX(Data!$C$3:$F$500,MATCH('Item IDs'!B62,Data!$F$3:$F$500,0),1)),"NOT ASSIGNED",INDEX(Data!$C$3:$F$500,MATCH('Item IDs'!B62,Data!$F$3:$F$500,0),1))</f>
        <v>f. Common equity</v>
      </c>
    </row>
    <row r="63" spans="2:7">
      <c r="B63" s="209">
        <v>1059</v>
      </c>
      <c r="C63" s="210" t="str">
        <f>IF(ISERROR(VLOOKUP(B63,Data!$F$3:$H$500,3,FALSE)),"N/A",VLOOKUP(B63,Data!$F$3:$H$500,3,FALSE))</f>
        <v>5.g.</v>
      </c>
      <c r="D63" s="225" t="str">
        <f t="shared" si="0"/>
        <v>5</v>
      </c>
      <c r="E63" s="220" t="str">
        <f t="shared" si="1"/>
        <v>g</v>
      </c>
      <c r="F63" s="220" t="str">
        <f t="shared" si="2"/>
        <v xml:space="preserve"> </v>
      </c>
      <c r="G63" s="211" t="str">
        <f>IF(ISERROR(INDEX(Data!$C$3:$F$500,MATCH('Item IDs'!B63,Data!$F$3:$F$500,0),1)),"NOT ASSIGNED",INDEX(Data!$C$3:$F$500,MATCH('Item IDs'!B63,Data!$F$3:$F$500,0),1))</f>
        <v>g. Preferred shares and any other forms of subordinated funding not captured in item 5.c.</v>
      </c>
    </row>
    <row r="64" spans="2:7">
      <c r="B64" s="209">
        <v>1060</v>
      </c>
      <c r="C64" s="210" t="str">
        <f>IF(ISERROR(VLOOKUP(B64,Data!$F$3:$H$500,3,FALSE)),"N/A",VLOOKUP(B64,Data!$F$3:$H$500,3,FALSE))</f>
        <v>5.h.</v>
      </c>
      <c r="D64" s="225" t="str">
        <f t="shared" si="0"/>
        <v>5</v>
      </c>
      <c r="E64" s="220" t="str">
        <f t="shared" si="1"/>
        <v>h</v>
      </c>
      <c r="F64" s="220" t="str">
        <f t="shared" si="2"/>
        <v xml:space="preserve"> </v>
      </c>
      <c r="G64" s="211" t="str">
        <f>IF(ISERROR(INDEX(Data!$C$3:$F$500,MATCH('Item IDs'!B64,Data!$F$3:$F$500,0),1)),"NOT ASSIGNED",INDEX(Data!$C$3:$F$500,MATCH('Item IDs'!B64,Data!$F$3:$F$500,0),1))</f>
        <v>h. Securities outstanding indicator (sum of items 5.a through 5.g)</v>
      </c>
    </row>
    <row r="65" spans="2:7">
      <c r="B65" s="209">
        <v>1061</v>
      </c>
      <c r="C65" s="210" t="str">
        <f>IF(ISERROR(VLOOKUP(B65,Data!$F$3:$H$500,3,FALSE)),"N/A",VLOOKUP(B65,Data!$F$3:$H$500,3,FALSE))</f>
        <v>6.a.</v>
      </c>
      <c r="D65" s="225" t="str">
        <f t="shared" si="0"/>
        <v>6</v>
      </c>
      <c r="E65" s="220" t="str">
        <f t="shared" si="1"/>
        <v>a</v>
      </c>
      <c r="F65" s="225" t="str">
        <f t="shared" si="2"/>
        <v xml:space="preserve"> </v>
      </c>
      <c r="G65" s="211" t="str">
        <f>IF(ISERROR(INDEX(Data!$C$3:$F$500,MATCH('Item IDs'!B65,Data!$F$3:$F$500,0),1)),"NOT ASSIGNED",INDEX(Data!$C$3:$F$500,MATCH('Item IDs'!B65,Data!$F$3:$F$500,0),1))</f>
        <v>a. Australian dollars</v>
      </c>
    </row>
    <row r="66" spans="2:7">
      <c r="B66" s="209">
        <v>1062</v>
      </c>
      <c r="C66" s="210" t="str">
        <f>IF(ISERROR(VLOOKUP(B66,Data!$F$3:$H$500,3,FALSE)),"N/A",VLOOKUP(B66,Data!$F$3:$H$500,3,FALSE))</f>
        <v>6.b.</v>
      </c>
      <c r="D66" s="225" t="str">
        <f t="shared" si="0"/>
        <v>6</v>
      </c>
      <c r="E66" s="220" t="str">
        <f t="shared" si="1"/>
        <v>b</v>
      </c>
      <c r="F66" s="225" t="str">
        <f t="shared" si="2"/>
        <v xml:space="preserve"> </v>
      </c>
      <c r="G66" s="211" t="str">
        <f>IF(ISERROR(INDEX(Data!$C$3:$F$500,MATCH('Item IDs'!B66,Data!$F$3:$F$500,0),1)),"NOT ASSIGNED",INDEX(Data!$C$3:$F$500,MATCH('Item IDs'!B66,Data!$F$3:$F$500,0),1))</f>
        <v>b. Brazilian real</v>
      </c>
    </row>
    <row r="67" spans="2:7">
      <c r="B67" s="209">
        <v>1063</v>
      </c>
      <c r="C67" s="210" t="str">
        <f>IF(ISERROR(VLOOKUP(B67,Data!$F$3:$H$500,3,FALSE)),"N/A",VLOOKUP(B67,Data!$F$3:$H$500,3,FALSE))</f>
        <v>6.c.</v>
      </c>
      <c r="D67" s="225" t="str">
        <f t="shared" si="0"/>
        <v>6</v>
      </c>
      <c r="E67" s="220" t="str">
        <f t="shared" si="1"/>
        <v>c</v>
      </c>
      <c r="F67" s="225" t="str">
        <f t="shared" si="2"/>
        <v xml:space="preserve"> </v>
      </c>
      <c r="G67" s="211" t="str">
        <f>IF(ISERROR(INDEX(Data!$C$3:$F$500,MATCH('Item IDs'!B67,Data!$F$3:$F$500,0),1)),"NOT ASSIGNED",INDEX(Data!$C$3:$F$500,MATCH('Item IDs'!B67,Data!$F$3:$F$500,0),1))</f>
        <v>c. Canadian dollars</v>
      </c>
    </row>
    <row r="68" spans="2:7">
      <c r="B68" s="209">
        <v>1064</v>
      </c>
      <c r="C68" s="210" t="str">
        <f>IF(ISERROR(VLOOKUP(B68,Data!$F$3:$H$500,3,FALSE)),"N/A",VLOOKUP(B68,Data!$F$3:$H$500,3,FALSE))</f>
        <v>6.d.</v>
      </c>
      <c r="D68" s="225" t="str">
        <f t="shared" si="0"/>
        <v>6</v>
      </c>
      <c r="E68" s="220" t="str">
        <f t="shared" si="1"/>
        <v>d</v>
      </c>
      <c r="F68" s="220" t="str">
        <f t="shared" si="2"/>
        <v xml:space="preserve"> </v>
      </c>
      <c r="G68" s="211" t="str">
        <f>IF(ISERROR(INDEX(Data!$C$3:$F$500,MATCH('Item IDs'!B68,Data!$F$3:$F$500,0),1)),"NOT ASSIGNED",INDEX(Data!$C$3:$F$500,MATCH('Item IDs'!B68,Data!$F$3:$F$500,0),1))</f>
        <v>d. Swiss francs</v>
      </c>
    </row>
    <row r="69" spans="2:7">
      <c r="B69" s="209">
        <v>1065</v>
      </c>
      <c r="C69" s="210" t="str">
        <f>IF(ISERROR(VLOOKUP(B69,Data!$F$3:$H$500,3,FALSE)),"N/A",VLOOKUP(B69,Data!$F$3:$H$500,3,FALSE))</f>
        <v>6.e.</v>
      </c>
      <c r="D69" s="225" t="str">
        <f t="shared" ref="D69:D132" si="3">IF(ISERROR(FIND(".",C69))," ",LEFT(C69,FIND(".",C69)-1))</f>
        <v>6</v>
      </c>
      <c r="E69" s="220" t="str">
        <f t="shared" ref="E69:E132" si="4">IF(ISERROR(FIND(".",C69))," ",LEFT(RIGHT(C69,LEN(C69)-FIND(".",C69)),FIND(".",RIGHT(C69,LEN(C69)-FIND(".",C69)))-1))</f>
        <v>e</v>
      </c>
      <c r="F69" s="220" t="str">
        <f t="shared" ref="F69:F132" si="5">IF(ISERROR(FIND("(",C69))," ",MID(C69,FIND("(",C69)+1,FIND(")",C69)-FIND("(",C69)-1))</f>
        <v xml:space="preserve"> </v>
      </c>
      <c r="G69" s="211" t="str">
        <f>IF(ISERROR(INDEX(Data!$C$3:$F$500,MATCH('Item IDs'!B69,Data!$F$3:$F$500,0),1)),"NOT ASSIGNED",INDEX(Data!$C$3:$F$500,MATCH('Item IDs'!B69,Data!$F$3:$F$500,0),1))</f>
        <v>e. Chinese yuan</v>
      </c>
    </row>
    <row r="70" spans="2:7">
      <c r="B70" s="209">
        <v>1066</v>
      </c>
      <c r="C70" s="210" t="str">
        <f>IF(ISERROR(VLOOKUP(B70,Data!$F$3:$H$500,3,FALSE)),"N/A",VLOOKUP(B70,Data!$F$3:$H$500,3,FALSE))</f>
        <v>6.f.</v>
      </c>
      <c r="D70" s="225" t="str">
        <f t="shared" si="3"/>
        <v>6</v>
      </c>
      <c r="E70" s="220" t="str">
        <f t="shared" si="4"/>
        <v>f</v>
      </c>
      <c r="F70" s="220" t="str">
        <f t="shared" si="5"/>
        <v xml:space="preserve"> </v>
      </c>
      <c r="G70" s="211" t="str">
        <f>IF(ISERROR(INDEX(Data!$C$3:$F$500,MATCH('Item IDs'!B70,Data!$F$3:$F$500,0),1)),"NOT ASSIGNED",INDEX(Data!$C$3:$F$500,MATCH('Item IDs'!B70,Data!$F$3:$F$500,0),1))</f>
        <v>f. Euros</v>
      </c>
    </row>
    <row r="71" spans="2:7">
      <c r="B71" s="209">
        <v>1067</v>
      </c>
      <c r="C71" s="210" t="str">
        <f>IF(ISERROR(VLOOKUP(B71,Data!$F$3:$H$500,3,FALSE)),"N/A",VLOOKUP(B71,Data!$F$3:$H$500,3,FALSE))</f>
        <v>6.g.</v>
      </c>
      <c r="D71" s="225" t="str">
        <f t="shared" si="3"/>
        <v>6</v>
      </c>
      <c r="E71" s="220" t="str">
        <f t="shared" si="4"/>
        <v>g</v>
      </c>
      <c r="F71" s="220" t="str">
        <f t="shared" si="5"/>
        <v xml:space="preserve"> </v>
      </c>
      <c r="G71" s="211" t="str">
        <f>IF(ISERROR(INDEX(Data!$C$3:$F$500,MATCH('Item IDs'!B71,Data!$F$3:$F$500,0),1)),"NOT ASSIGNED",INDEX(Data!$C$3:$F$500,MATCH('Item IDs'!B71,Data!$F$3:$F$500,0),1))</f>
        <v>g. British pounds</v>
      </c>
    </row>
    <row r="72" spans="2:7">
      <c r="B72" s="209">
        <v>1068</v>
      </c>
      <c r="C72" s="210" t="str">
        <f>IF(ISERROR(VLOOKUP(B72,Data!$F$3:$H$500,3,FALSE)),"N/A",VLOOKUP(B72,Data!$F$3:$H$500,3,FALSE))</f>
        <v>6.h.</v>
      </c>
      <c r="D72" s="225" t="str">
        <f t="shared" si="3"/>
        <v>6</v>
      </c>
      <c r="E72" s="220" t="str">
        <f t="shared" si="4"/>
        <v>h</v>
      </c>
      <c r="F72" s="220" t="str">
        <f t="shared" si="5"/>
        <v xml:space="preserve"> </v>
      </c>
      <c r="G72" s="211" t="str">
        <f>IF(ISERROR(INDEX(Data!$C$3:$F$500,MATCH('Item IDs'!B72,Data!$F$3:$F$500,0),1)),"NOT ASSIGNED",INDEX(Data!$C$3:$F$500,MATCH('Item IDs'!B72,Data!$F$3:$F$500,0),1))</f>
        <v>h. Hong Kong dollars</v>
      </c>
    </row>
    <row r="73" spans="2:7">
      <c r="B73" s="209">
        <v>1069</v>
      </c>
      <c r="C73" s="210" t="str">
        <f>IF(ISERROR(VLOOKUP(B73,Data!$F$3:$H$500,3,FALSE)),"N/A",VLOOKUP(B73,Data!$F$3:$H$500,3,FALSE))</f>
        <v>6.i.</v>
      </c>
      <c r="D73" s="225" t="str">
        <f t="shared" si="3"/>
        <v>6</v>
      </c>
      <c r="E73" s="220" t="str">
        <f t="shared" si="4"/>
        <v>i</v>
      </c>
      <c r="F73" s="220" t="str">
        <f t="shared" si="5"/>
        <v xml:space="preserve"> </v>
      </c>
      <c r="G73" s="211" t="str">
        <f>IF(ISERROR(INDEX(Data!$C$3:$F$500,MATCH('Item IDs'!B73,Data!$F$3:$F$500,0),1)),"NOT ASSIGNED",INDEX(Data!$C$3:$F$500,MATCH('Item IDs'!B73,Data!$F$3:$F$500,0),1))</f>
        <v>i. Indian rupee</v>
      </c>
    </row>
    <row r="74" spans="2:7">
      <c r="B74" s="209">
        <v>1070</v>
      </c>
      <c r="C74" s="210" t="str">
        <f>IF(ISERROR(VLOOKUP(B74,Data!$F$3:$H$500,3,FALSE)),"N/A",VLOOKUP(B74,Data!$F$3:$H$500,3,FALSE))</f>
        <v>6.j.</v>
      </c>
      <c r="D74" s="225" t="str">
        <f t="shared" si="3"/>
        <v>6</v>
      </c>
      <c r="E74" s="220" t="str">
        <f t="shared" si="4"/>
        <v>j</v>
      </c>
      <c r="F74" s="220" t="str">
        <f t="shared" si="5"/>
        <v xml:space="preserve"> </v>
      </c>
      <c r="G74" s="211" t="str">
        <f>IF(ISERROR(INDEX(Data!$C$3:$F$500,MATCH('Item IDs'!B74,Data!$F$3:$F$500,0),1)),"NOT ASSIGNED",INDEX(Data!$C$3:$F$500,MATCH('Item IDs'!B74,Data!$F$3:$F$500,0),1))</f>
        <v>j. Japanese yen</v>
      </c>
    </row>
    <row r="75" spans="2:7">
      <c r="B75" s="209">
        <v>1071</v>
      </c>
      <c r="C75" s="210" t="str">
        <f>IF(ISERROR(VLOOKUP(B75,Data!$F$3:$H$500,3,FALSE)),"N/A",VLOOKUP(B75,Data!$F$3:$H$500,3,FALSE))</f>
        <v>6.k.</v>
      </c>
      <c r="D75" s="225" t="str">
        <f t="shared" si="3"/>
        <v>6</v>
      </c>
      <c r="E75" s="220" t="str">
        <f t="shared" si="4"/>
        <v>k</v>
      </c>
      <c r="F75" s="220" t="str">
        <f t="shared" si="5"/>
        <v xml:space="preserve"> </v>
      </c>
      <c r="G75" s="211" t="str">
        <f>IF(ISERROR(INDEX(Data!$C$3:$F$500,MATCH('Item IDs'!B75,Data!$F$3:$F$500,0),1)),"NOT ASSIGNED",INDEX(Data!$C$3:$F$500,MATCH('Item IDs'!B75,Data!$F$3:$F$500,0),1))</f>
        <v>k. Swedish krona</v>
      </c>
    </row>
    <row r="76" spans="2:7">
      <c r="B76" s="209">
        <v>1072</v>
      </c>
      <c r="C76" s="210" t="str">
        <f>IF(ISERROR(VLOOKUP(B76,Data!$F$3:$H$500,3,FALSE)),"N/A",VLOOKUP(B76,Data!$F$3:$H$500,3,FALSE))</f>
        <v>6.l.</v>
      </c>
      <c r="D76" s="225" t="str">
        <f t="shared" si="3"/>
        <v>6</v>
      </c>
      <c r="E76" s="220" t="str">
        <f t="shared" si="4"/>
        <v>l</v>
      </c>
      <c r="F76" s="220" t="str">
        <f t="shared" si="5"/>
        <v xml:space="preserve"> </v>
      </c>
      <c r="G76" s="211" t="str">
        <f>IF(ISERROR(INDEX(Data!$C$3:$F$500,MATCH('Item IDs'!B76,Data!$F$3:$F$500,0),1)),"NOT ASSIGNED",INDEX(Data!$C$3:$F$500,MATCH('Item IDs'!B76,Data!$F$3:$F$500,0),1))</f>
        <v>l. United States dollars</v>
      </c>
    </row>
    <row r="77" spans="2:7">
      <c r="B77" s="209">
        <v>1073</v>
      </c>
      <c r="C77" s="210" t="str">
        <f>IF(ISERROR(VLOOKUP(B77,Data!$F$3:$H$500,3,FALSE)),"N/A",VLOOKUP(B77,Data!$F$3:$H$500,3,FALSE))</f>
        <v>6.m.</v>
      </c>
      <c r="D77" s="225" t="str">
        <f t="shared" si="3"/>
        <v>6</v>
      </c>
      <c r="E77" s="220" t="str">
        <f t="shared" si="4"/>
        <v>m</v>
      </c>
      <c r="F77" s="220" t="str">
        <f t="shared" si="5"/>
        <v xml:space="preserve"> </v>
      </c>
      <c r="G77" s="211" t="str">
        <f>IF(ISERROR(INDEX(Data!$C$3:$F$500,MATCH('Item IDs'!B77,Data!$F$3:$F$500,0),1)),"NOT ASSIGNED",INDEX(Data!$C$3:$F$500,MATCH('Item IDs'!B77,Data!$F$3:$F$500,0),1))</f>
        <v>m. Payments activity indicator (sum of items 6.a through 6.l)</v>
      </c>
    </row>
    <row r="78" spans="2:7">
      <c r="B78" s="209">
        <v>1074</v>
      </c>
      <c r="C78" s="210" t="str">
        <f>IF(ISERROR(VLOOKUP(B78,Data!$F$3:$H$500,3,FALSE)),"N/A",VLOOKUP(B78,Data!$F$3:$H$500,3,FALSE))</f>
        <v>7.a.</v>
      </c>
      <c r="D78" s="225" t="str">
        <f t="shared" si="3"/>
        <v>7</v>
      </c>
      <c r="E78" s="220" t="str">
        <f t="shared" si="4"/>
        <v>a</v>
      </c>
      <c r="F78" s="220" t="str">
        <f t="shared" si="5"/>
        <v xml:space="preserve"> </v>
      </c>
      <c r="G78" s="211" t="str">
        <f>IF(ISERROR(INDEX(Data!$C$3:$F$500,MATCH('Item IDs'!B78,Data!$F$3:$F$500,0),1)),"NOT ASSIGNED",INDEX(Data!$C$3:$F$500,MATCH('Item IDs'!B78,Data!$F$3:$F$500,0),1))</f>
        <v>a. Assets under custody indicator</v>
      </c>
    </row>
    <row r="79" spans="2:7">
      <c r="B79" s="209">
        <v>1075</v>
      </c>
      <c r="C79" s="210" t="str">
        <f>IF(ISERROR(VLOOKUP(B79,Data!$F$3:$H$500,3,FALSE)),"N/A",VLOOKUP(B79,Data!$F$3:$H$500,3,FALSE))</f>
        <v>8.a.</v>
      </c>
      <c r="D79" s="225" t="str">
        <f t="shared" si="3"/>
        <v>8</v>
      </c>
      <c r="E79" s="220" t="str">
        <f t="shared" si="4"/>
        <v>a</v>
      </c>
      <c r="F79" s="220" t="str">
        <f t="shared" si="5"/>
        <v xml:space="preserve"> </v>
      </c>
      <c r="G79" s="211" t="str">
        <f>IF(ISERROR(INDEX(Data!$C$3:$F$500,MATCH('Item IDs'!B79,Data!$F$3:$F$500,0),1)),"NOT ASSIGNED",INDEX(Data!$C$3:$F$500,MATCH('Item IDs'!B79,Data!$F$3:$F$500,0),1))</f>
        <v>a. Equity underwriting activity</v>
      </c>
    </row>
    <row r="80" spans="2:7">
      <c r="B80" s="209">
        <v>1076</v>
      </c>
      <c r="C80" s="210" t="str">
        <f>IF(ISERROR(VLOOKUP(B80,Data!$F$3:$H$500,3,FALSE)),"N/A",VLOOKUP(B80,Data!$F$3:$H$500,3,FALSE))</f>
        <v>8.b.</v>
      </c>
      <c r="D80" s="225" t="str">
        <f t="shared" si="3"/>
        <v>8</v>
      </c>
      <c r="E80" s="220" t="str">
        <f t="shared" si="4"/>
        <v>b</v>
      </c>
      <c r="F80" s="220" t="str">
        <f t="shared" si="5"/>
        <v xml:space="preserve"> </v>
      </c>
      <c r="G80" s="211" t="str">
        <f>IF(ISERROR(INDEX(Data!$C$3:$F$500,MATCH('Item IDs'!B80,Data!$F$3:$F$500,0),1)),"NOT ASSIGNED",INDEX(Data!$C$3:$F$500,MATCH('Item IDs'!B80,Data!$F$3:$F$500,0),1))</f>
        <v>b. Debt underwriting activity</v>
      </c>
    </row>
    <row r="81" spans="2:7">
      <c r="B81" s="209">
        <v>1077</v>
      </c>
      <c r="C81" s="210" t="str">
        <f>IF(ISERROR(VLOOKUP(B81,Data!$F$3:$H$500,3,FALSE)),"N/A",VLOOKUP(B81,Data!$F$3:$H$500,3,FALSE))</f>
        <v>8.c.</v>
      </c>
      <c r="D81" s="225" t="str">
        <f t="shared" si="3"/>
        <v>8</v>
      </c>
      <c r="E81" s="220" t="str">
        <f t="shared" si="4"/>
        <v>c</v>
      </c>
      <c r="F81" s="225" t="str">
        <f t="shared" si="5"/>
        <v xml:space="preserve"> </v>
      </c>
      <c r="G81" s="211" t="str">
        <f>IF(ISERROR(INDEX(Data!$C$3:$F$500,MATCH('Item IDs'!B81,Data!$F$3:$F$500,0),1)),"NOT ASSIGNED",INDEX(Data!$C$3:$F$500,MATCH('Item IDs'!B81,Data!$F$3:$F$500,0),1))</f>
        <v>c. Underwriting activity indicator (sum of items 8.a and 8.b)</v>
      </c>
    </row>
    <row r="82" spans="2:7">
      <c r="B82" s="209">
        <v>1078</v>
      </c>
      <c r="C82" s="210" t="str">
        <f>IF(ISERROR(VLOOKUP(B82,Data!$F$3:$H$500,3,FALSE)),"N/A",VLOOKUP(B82,Data!$F$3:$H$500,3,FALSE))</f>
        <v>9.a.</v>
      </c>
      <c r="D82" s="225" t="str">
        <f t="shared" si="3"/>
        <v>9</v>
      </c>
      <c r="E82" s="220" t="str">
        <f t="shared" si="4"/>
        <v>a</v>
      </c>
      <c r="F82" s="225" t="str">
        <f t="shared" si="5"/>
        <v xml:space="preserve"> </v>
      </c>
      <c r="G82" s="211" t="str">
        <f>IF(ISERROR(INDEX(Data!$C$3:$F$500,MATCH('Item IDs'!B82,Data!$F$3:$F$500,0),1)),"NOT ASSIGNED",INDEX(Data!$C$3:$F$500,MATCH('Item IDs'!B82,Data!$F$3:$F$500,0),1))</f>
        <v>a. OTC derivatives cleared through a central counterparty</v>
      </c>
    </row>
    <row r="83" spans="2:7">
      <c r="B83" s="209">
        <v>1079</v>
      </c>
      <c r="C83" s="210" t="str">
        <f>IF(ISERROR(VLOOKUP(B83,Data!$F$3:$H$500,3,FALSE)),"N/A",VLOOKUP(B83,Data!$F$3:$H$500,3,FALSE))</f>
        <v>9.b.</v>
      </c>
      <c r="D83" s="225" t="str">
        <f t="shared" si="3"/>
        <v>9</v>
      </c>
      <c r="E83" s="220" t="str">
        <f t="shared" si="4"/>
        <v>b</v>
      </c>
      <c r="F83" s="225" t="str">
        <f t="shared" si="5"/>
        <v xml:space="preserve"> </v>
      </c>
      <c r="G83" s="211" t="str">
        <f>IF(ISERROR(INDEX(Data!$C$3:$F$500,MATCH('Item IDs'!B83,Data!$F$3:$F$500,0),1)),"NOT ASSIGNED",INDEX(Data!$C$3:$F$500,MATCH('Item IDs'!B83,Data!$F$3:$F$500,0),1))</f>
        <v>b. OTC derivatives settled bilaterally</v>
      </c>
    </row>
    <row r="84" spans="2:7">
      <c r="B84" s="209">
        <v>1080</v>
      </c>
      <c r="C84" s="210" t="str">
        <f>IF(ISERROR(VLOOKUP(B84,Data!$F$3:$H$500,3,FALSE)),"N/A",VLOOKUP(B84,Data!$F$3:$H$500,3,FALSE))</f>
        <v>9.c.</v>
      </c>
      <c r="D84" s="225" t="str">
        <f t="shared" si="3"/>
        <v>9</v>
      </c>
      <c r="E84" s="220" t="str">
        <f t="shared" si="4"/>
        <v>c</v>
      </c>
      <c r="F84" s="220" t="str">
        <f t="shared" si="5"/>
        <v xml:space="preserve"> </v>
      </c>
      <c r="G84" s="211" t="str">
        <f>IF(ISERROR(INDEX(Data!$C$3:$F$500,MATCH('Item IDs'!B84,Data!$F$3:$F$500,0),1)),"NOT ASSIGNED",INDEX(Data!$C$3:$F$500,MATCH('Item IDs'!B84,Data!$F$3:$F$500,0),1))</f>
        <v>c. OTC derivatives indicator (sum of items 9.a and 9.b)</v>
      </c>
    </row>
    <row r="85" spans="2:7">
      <c r="B85" s="209">
        <v>1081</v>
      </c>
      <c r="C85" s="210" t="str">
        <f>IF(ISERROR(VLOOKUP(B85,Data!$F$3:$H$500,3,FALSE)),"N/A",VLOOKUP(B85,Data!$F$3:$H$500,3,FALSE))</f>
        <v>10.a.</v>
      </c>
      <c r="D85" s="225" t="str">
        <f t="shared" si="3"/>
        <v>10</v>
      </c>
      <c r="E85" s="220" t="str">
        <f t="shared" si="4"/>
        <v>a</v>
      </c>
      <c r="F85" s="220" t="str">
        <f t="shared" si="5"/>
        <v xml:space="preserve"> </v>
      </c>
      <c r="G85" s="211" t="str">
        <f>IF(ISERROR(INDEX(Data!$C$3:$F$500,MATCH('Item IDs'!B85,Data!$F$3:$F$500,0),1)),"NOT ASSIGNED",INDEX(Data!$C$3:$F$500,MATCH('Item IDs'!B85,Data!$F$3:$F$500,0),1))</f>
        <v>a. Held-for-trading securities (HFT)</v>
      </c>
    </row>
    <row r="86" spans="2:7">
      <c r="B86" s="209">
        <v>1082</v>
      </c>
      <c r="C86" s="210" t="str">
        <f>IF(ISERROR(VLOOKUP(B86,Data!$F$3:$H$500,3,FALSE)),"N/A",VLOOKUP(B86,Data!$F$3:$H$500,3,FALSE))</f>
        <v>10.b.</v>
      </c>
      <c r="D86" s="225" t="str">
        <f t="shared" si="3"/>
        <v>10</v>
      </c>
      <c r="E86" s="220" t="str">
        <f t="shared" si="4"/>
        <v>b</v>
      </c>
      <c r="F86" s="220" t="str">
        <f t="shared" si="5"/>
        <v xml:space="preserve"> </v>
      </c>
      <c r="G86" s="211" t="str">
        <f>IF(ISERROR(INDEX(Data!$C$3:$F$500,MATCH('Item IDs'!B86,Data!$F$3:$F$500,0),1)),"NOT ASSIGNED",INDEX(Data!$C$3:$F$500,MATCH('Item IDs'!B86,Data!$F$3:$F$500,0),1))</f>
        <v>b. Available-for-sale securities (AFS)</v>
      </c>
    </row>
    <row r="87" spans="2:7">
      <c r="B87" s="209">
        <v>1083</v>
      </c>
      <c r="C87" s="210" t="str">
        <f>IF(ISERROR(VLOOKUP(B87,Data!$F$3:$H$500,3,FALSE)),"N/A",VLOOKUP(B87,Data!$F$3:$H$500,3,FALSE))</f>
        <v xml:space="preserve">10.c. </v>
      </c>
      <c r="D87" s="225" t="str">
        <f t="shared" si="3"/>
        <v>10</v>
      </c>
      <c r="E87" s="220" t="str">
        <f t="shared" si="4"/>
        <v>c</v>
      </c>
      <c r="F87" s="220" t="str">
        <f t="shared" si="5"/>
        <v xml:space="preserve"> </v>
      </c>
      <c r="G87" s="211" t="str">
        <f>IF(ISERROR(INDEX(Data!$C$3:$F$500,MATCH('Item IDs'!B87,Data!$F$3:$F$500,0),1)),"NOT ASSIGNED",INDEX(Data!$C$3:$F$500,MATCH('Item IDs'!B87,Data!$F$3:$F$500,0),1))</f>
        <v>c. Trading and AFS securities that meet the definition of Level 1 assets</v>
      </c>
    </row>
    <row r="88" spans="2:7">
      <c r="B88" s="209">
        <v>1084</v>
      </c>
      <c r="C88" s="210" t="str">
        <f>IF(ISERROR(VLOOKUP(B88,Data!$F$3:$H$500,3,FALSE)),"N/A",VLOOKUP(B88,Data!$F$3:$H$500,3,FALSE))</f>
        <v>10.d.</v>
      </c>
      <c r="D88" s="225" t="str">
        <f t="shared" si="3"/>
        <v>10</v>
      </c>
      <c r="E88" s="220" t="str">
        <f t="shared" si="4"/>
        <v>d</v>
      </c>
      <c r="F88" s="220" t="str">
        <f t="shared" si="5"/>
        <v xml:space="preserve"> </v>
      </c>
      <c r="G88" s="211" t="str">
        <f>IF(ISERROR(INDEX(Data!$C$3:$F$500,MATCH('Item IDs'!B88,Data!$F$3:$F$500,0),1)),"NOT ASSIGNED",INDEX(Data!$C$3:$F$500,MATCH('Item IDs'!B88,Data!$F$3:$F$500,0),1))</f>
        <v>d. Trading and AFS securities that meet the definition of Level 2 assets, with haircuts</v>
      </c>
    </row>
    <row r="89" spans="2:7">
      <c r="B89" s="209">
        <v>1085</v>
      </c>
      <c r="C89" s="210" t="str">
        <f>IF(ISERROR(VLOOKUP(B89,Data!$F$3:$H$500,3,FALSE)),"N/A",VLOOKUP(B89,Data!$F$3:$H$500,3,FALSE))</f>
        <v>10.e.</v>
      </c>
      <c r="D89" s="225" t="str">
        <f t="shared" si="3"/>
        <v>10</v>
      </c>
      <c r="E89" s="220" t="str">
        <f t="shared" si="4"/>
        <v>e</v>
      </c>
      <c r="F89" s="220" t="str">
        <f t="shared" si="5"/>
        <v xml:space="preserve"> </v>
      </c>
      <c r="G89" s="211" t="str">
        <f>IF(ISERROR(INDEX(Data!$C$3:$F$500,MATCH('Item IDs'!B89,Data!$F$3:$F$500,0),1)),"NOT ASSIGNED",INDEX(Data!$C$3:$F$500,MATCH('Item IDs'!B89,Data!$F$3:$F$500,0),1))</f>
        <v>e. Trading and AFS securities indicator (sum of items 10.a and 10.b, minus the sum of 10.c and 10.d)</v>
      </c>
    </row>
    <row r="90" spans="2:7">
      <c r="B90" s="209">
        <v>1086</v>
      </c>
      <c r="C90" s="210" t="str">
        <f>IF(ISERROR(VLOOKUP(B90,Data!$F$3:$H$500,3,FALSE)),"N/A",VLOOKUP(B90,Data!$F$3:$H$500,3,FALSE))</f>
        <v>11.a.</v>
      </c>
      <c r="D90" s="225" t="str">
        <f t="shared" si="3"/>
        <v>11</v>
      </c>
      <c r="E90" s="220" t="str">
        <f t="shared" si="4"/>
        <v>a</v>
      </c>
      <c r="F90" s="220" t="str">
        <f t="shared" si="5"/>
        <v xml:space="preserve"> </v>
      </c>
      <c r="G90" s="211" t="str">
        <f>IF(ISERROR(INDEX(Data!$C$3:$F$500,MATCH('Item IDs'!B90,Data!$F$3:$F$500,0),1)),"NOT ASSIGNED",INDEX(Data!$C$3:$F$500,MATCH('Item IDs'!B90,Data!$F$3:$F$500,0),1))</f>
        <v>a. Level 3 assets indicator (Assets valued using Level 3 measurement inputs)</v>
      </c>
    </row>
    <row r="91" spans="2:7">
      <c r="B91" s="209">
        <v>1087</v>
      </c>
      <c r="C91" s="210" t="str">
        <f>IF(ISERROR(VLOOKUP(B91,Data!$F$3:$H$500,3,FALSE)),"N/A",VLOOKUP(B91,Data!$F$3:$H$500,3,FALSE))</f>
        <v>12.a.</v>
      </c>
      <c r="D91" s="225" t="str">
        <f t="shared" si="3"/>
        <v>12</v>
      </c>
      <c r="E91" s="220" t="str">
        <f t="shared" si="4"/>
        <v>a</v>
      </c>
      <c r="F91" s="220" t="str">
        <f t="shared" si="5"/>
        <v xml:space="preserve"> </v>
      </c>
      <c r="G91" s="211" t="str">
        <f>IF(ISERROR(INDEX(Data!$C$3:$F$500,MATCH('Item IDs'!B91,Data!$F$3:$F$500,0),1)),"NOT ASSIGNED",INDEX(Data!$C$3:$F$500,MATCH('Item IDs'!B91,Data!$F$3:$F$500,0),1))</f>
        <v>a. Cross-jurisdictional claims indicator (Total foreign claims on an ultimate risk basis)</v>
      </c>
    </row>
    <row r="92" spans="2:7">
      <c r="B92" s="209">
        <v>1088</v>
      </c>
      <c r="C92" s="210" t="str">
        <f>IF(ISERROR(VLOOKUP(B92,Data!$F$3:$H$500,3,FALSE)),"N/A",VLOOKUP(B92,Data!$F$3:$H$500,3,FALSE))</f>
        <v>13.a.</v>
      </c>
      <c r="D92" s="225" t="str">
        <f t="shared" si="3"/>
        <v>13</v>
      </c>
      <c r="E92" s="220" t="str">
        <f t="shared" si="4"/>
        <v>a</v>
      </c>
      <c r="F92" s="220" t="str">
        <f t="shared" si="5"/>
        <v xml:space="preserve"> </v>
      </c>
      <c r="G92" s="211" t="str">
        <f>IF(ISERROR(INDEX(Data!$C$3:$F$500,MATCH('Item IDs'!B92,Data!$F$3:$F$500,0),1)),"NOT ASSIGNED",INDEX(Data!$C$3:$F$500,MATCH('Item IDs'!B92,Data!$F$3:$F$500,0),1))</f>
        <v>a. Foreign liabilities (excluding derivatives and local liabilities in local currency)</v>
      </c>
    </row>
    <row r="93" spans="2:7">
      <c r="B93" s="209">
        <v>1089</v>
      </c>
      <c r="C93" s="210" t="str">
        <f>IF(ISERROR(VLOOKUP(B93,Data!$F$3:$H$500,3,FALSE)),"N/A",VLOOKUP(B93,Data!$F$3:$H$500,3,FALSE))</f>
        <v>13.a.(1)</v>
      </c>
      <c r="D93" s="225" t="str">
        <f t="shared" si="3"/>
        <v>13</v>
      </c>
      <c r="E93" s="220" t="str">
        <f t="shared" si="4"/>
        <v>a</v>
      </c>
      <c r="F93" s="220" t="str">
        <f t="shared" si="5"/>
        <v>1</v>
      </c>
      <c r="G93" s="211" t="str">
        <f>IF(ISERROR(INDEX(Data!$C$3:$F$500,MATCH('Item IDs'!B93,Data!$F$3:$F$500,0),1)),"NOT ASSIGNED",INDEX(Data!$C$3:$F$500,MATCH('Item IDs'!B93,Data!$F$3:$F$500,0),1))</f>
        <v>(1) Any foreign liabilities to related offices included in item 13.a.</v>
      </c>
    </row>
    <row r="94" spans="2:7">
      <c r="B94" s="209">
        <v>1090</v>
      </c>
      <c r="C94" s="210" t="str">
        <f>IF(ISERROR(VLOOKUP(B94,Data!$F$3:$H$500,3,FALSE)),"N/A",VLOOKUP(B94,Data!$F$3:$H$500,3,FALSE))</f>
        <v>13.b.</v>
      </c>
      <c r="D94" s="225" t="str">
        <f t="shared" si="3"/>
        <v>13</v>
      </c>
      <c r="E94" s="220" t="str">
        <f t="shared" si="4"/>
        <v>b</v>
      </c>
      <c r="F94" s="220" t="str">
        <f t="shared" si="5"/>
        <v xml:space="preserve"> </v>
      </c>
      <c r="G94" s="211" t="str">
        <f>IF(ISERROR(INDEX(Data!$C$3:$F$500,MATCH('Item IDs'!B94,Data!$F$3:$F$500,0),1)),"NOT ASSIGNED",INDEX(Data!$C$3:$F$500,MATCH('Item IDs'!B94,Data!$F$3:$F$500,0),1))</f>
        <v>b. Local liabilities in local currency (excluding derivatives activity)</v>
      </c>
    </row>
    <row r="95" spans="2:7">
      <c r="B95" s="209">
        <v>1091</v>
      </c>
      <c r="C95" s="210" t="str">
        <f>IF(ISERROR(VLOOKUP(B95,Data!$F$3:$H$500,3,FALSE)),"N/A",VLOOKUP(B95,Data!$F$3:$H$500,3,FALSE))</f>
        <v>13.c.</v>
      </c>
      <c r="D95" s="225" t="str">
        <f t="shared" si="3"/>
        <v>13</v>
      </c>
      <c r="E95" s="220" t="str">
        <f t="shared" si="4"/>
        <v>c</v>
      </c>
      <c r="F95" s="220" t="str">
        <f t="shared" si="5"/>
        <v xml:space="preserve"> </v>
      </c>
      <c r="G95" s="211" t="str">
        <f>IF(ISERROR(INDEX(Data!$C$3:$F$500,MATCH('Item IDs'!B95,Data!$F$3:$F$500,0),1)),"NOT ASSIGNED",INDEX(Data!$C$3:$F$500,MATCH('Item IDs'!B95,Data!$F$3:$F$500,0),1))</f>
        <v>c. Cross-jurisdictional liabilities indicator (sum of items 13.a and 13.b, minus 13.a.(1))</v>
      </c>
    </row>
    <row r="96" spans="2:7">
      <c r="B96" s="209">
        <v>1092</v>
      </c>
      <c r="C96" s="210" t="str">
        <f>IF(ISERROR(VLOOKUP(B96,Data!$F$3:$H$500,3,FALSE)),"N/A",VLOOKUP(B96,Data!$F$3:$H$500,3,FALSE))</f>
        <v>14.a.</v>
      </c>
      <c r="D96" s="225" t="str">
        <f t="shared" si="3"/>
        <v>14</v>
      </c>
      <c r="E96" s="220" t="str">
        <f t="shared" si="4"/>
        <v>a</v>
      </c>
      <c r="F96" s="225" t="str">
        <f t="shared" si="5"/>
        <v xml:space="preserve"> </v>
      </c>
      <c r="G96" s="211" t="str">
        <f>IF(ISERROR(INDEX(Data!$C$3:$F$500,MATCH('Item IDs'!B96,Data!$F$3:$F$500,0),1)),"NOT ASSIGNED",INDEX(Data!$C$3:$F$500,MATCH('Item IDs'!B96,Data!$F$3:$F$500,0),1))</f>
        <v>a. Total liabilities</v>
      </c>
    </row>
    <row r="97" spans="2:7">
      <c r="B97" s="209">
        <v>1093</v>
      </c>
      <c r="C97" s="210" t="str">
        <f>IF(ISERROR(VLOOKUP(B97,Data!$F$3:$H$500,3,FALSE)),"N/A",VLOOKUP(B97,Data!$F$3:$H$500,3,FALSE))</f>
        <v>14.b.</v>
      </c>
      <c r="D97" s="225" t="str">
        <f t="shared" si="3"/>
        <v>14</v>
      </c>
      <c r="E97" s="220" t="str">
        <f t="shared" si="4"/>
        <v>b</v>
      </c>
      <c r="F97" s="220" t="str">
        <f t="shared" si="5"/>
        <v xml:space="preserve"> </v>
      </c>
      <c r="G97" s="211" t="str">
        <f>IF(ISERROR(INDEX(Data!$C$3:$F$500,MATCH('Item IDs'!B97,Data!$F$3:$F$500,0),1)),"NOT ASSIGNED",INDEX(Data!$C$3:$F$500,MATCH('Item IDs'!B97,Data!$F$3:$F$500,0),1))</f>
        <v>b. Retail funding</v>
      </c>
    </row>
    <row r="98" spans="2:7">
      <c r="B98" s="209">
        <v>1094</v>
      </c>
      <c r="C98" s="210" t="str">
        <f>IF(ISERROR(VLOOKUP(B98,Data!$F$3:$H$500,3,FALSE)),"N/A",VLOOKUP(B98,Data!$F$3:$H$500,3,FALSE))</f>
        <v>14.c.</v>
      </c>
      <c r="D98" s="225" t="str">
        <f t="shared" si="3"/>
        <v>14</v>
      </c>
      <c r="E98" s="220" t="str">
        <f t="shared" si="4"/>
        <v>c</v>
      </c>
      <c r="F98" s="220" t="str">
        <f t="shared" si="5"/>
        <v xml:space="preserve"> </v>
      </c>
      <c r="G98" s="211" t="str">
        <f>IF(ISERROR(INDEX(Data!$C$3:$F$500,MATCH('Item IDs'!B98,Data!$F$3:$F$500,0),1)),"NOT ASSIGNED",INDEX(Data!$C$3:$F$500,MATCH('Item IDs'!B98,Data!$F$3:$F$500,0),1))</f>
        <v>c. Wholesale funding dependence ratio (the difference between items 14.a and 14.b, divided by 14.a)</v>
      </c>
    </row>
    <row r="99" spans="2:7">
      <c r="B99" s="209">
        <v>1095</v>
      </c>
      <c r="C99" s="210" t="str">
        <f>IF(ISERROR(VLOOKUP(B99,Data!$F$3:$H$500,3,FALSE)),"N/A",VLOOKUP(B99,Data!$F$3:$H$500,3,FALSE))</f>
        <v>14.d.</v>
      </c>
      <c r="D99" s="225" t="str">
        <f t="shared" si="3"/>
        <v>14</v>
      </c>
      <c r="E99" s="220" t="str">
        <f t="shared" si="4"/>
        <v>d</v>
      </c>
      <c r="F99" s="220" t="str">
        <f t="shared" si="5"/>
        <v xml:space="preserve"> </v>
      </c>
      <c r="G99" s="211" t="str">
        <f>IF(ISERROR(INDEX(Data!$C$3:$F$500,MATCH('Item IDs'!B99,Data!$F$3:$F$500,0),1)),"NOT ASSIGNED",INDEX(Data!$C$3:$F$500,MATCH('Item IDs'!B99,Data!$F$3:$F$500,0),1))</f>
        <v>d. Total gross revenue</v>
      </c>
    </row>
    <row r="100" spans="2:7">
      <c r="B100" s="209">
        <v>1096</v>
      </c>
      <c r="C100" s="210" t="str">
        <f>IF(ISERROR(VLOOKUP(B100,Data!$F$3:$H$500,3,FALSE)),"N/A",VLOOKUP(B100,Data!$F$3:$H$500,3,FALSE))</f>
        <v>14.e.</v>
      </c>
      <c r="D100" s="225" t="str">
        <f t="shared" si="3"/>
        <v>14</v>
      </c>
      <c r="E100" s="220" t="str">
        <f t="shared" si="4"/>
        <v>e</v>
      </c>
      <c r="F100" s="225" t="str">
        <f t="shared" si="5"/>
        <v xml:space="preserve"> </v>
      </c>
      <c r="G100" s="211" t="str">
        <f>IF(ISERROR(INDEX(Data!$C$3:$F$500,MATCH('Item IDs'!B100,Data!$F$3:$F$500,0),1)),"NOT ASSIGNED",INDEX(Data!$C$3:$F$500,MATCH('Item IDs'!B100,Data!$F$3:$F$500,0),1))</f>
        <v>e. Total net revenue</v>
      </c>
    </row>
    <row r="101" spans="2:7">
      <c r="B101" s="209">
        <v>1097</v>
      </c>
      <c r="C101" s="210" t="str">
        <f>IF(ISERROR(VLOOKUP(B101,Data!$F$3:$H$500,3,FALSE)),"N/A",VLOOKUP(B101,Data!$F$3:$H$500,3,FALSE))</f>
        <v>14.f.</v>
      </c>
      <c r="D101" s="225" t="str">
        <f t="shared" si="3"/>
        <v>14</v>
      </c>
      <c r="E101" s="220" t="str">
        <f t="shared" si="4"/>
        <v>f</v>
      </c>
      <c r="F101" s="225" t="str">
        <f t="shared" si="5"/>
        <v xml:space="preserve"> </v>
      </c>
      <c r="G101" s="211" t="str">
        <f>IF(ISERROR(INDEX(Data!$C$3:$F$500,MATCH('Item IDs'!B101,Data!$F$3:$F$500,0),1)),"NOT ASSIGNED",INDEX(Data!$C$3:$F$500,MATCH('Item IDs'!B101,Data!$F$3:$F$500,0),1))</f>
        <v>f. Foreign net revenue</v>
      </c>
    </row>
    <row r="102" spans="2:7">
      <c r="B102" s="209">
        <v>1098</v>
      </c>
      <c r="C102" s="210" t="str">
        <f>IF(ISERROR(VLOOKUP(B102,Data!$F$3:$H$500,3,FALSE)),"N/A",VLOOKUP(B102,Data!$F$3:$H$500,3,FALSE))</f>
        <v>14.g.</v>
      </c>
      <c r="D102" s="225" t="str">
        <f t="shared" si="3"/>
        <v>14</v>
      </c>
      <c r="E102" s="220" t="str">
        <f t="shared" si="4"/>
        <v>g</v>
      </c>
      <c r="F102" s="220" t="str">
        <f t="shared" si="5"/>
        <v xml:space="preserve"> </v>
      </c>
      <c r="G102" s="211" t="str">
        <f>IF(ISERROR(INDEX(Data!$C$3:$F$500,MATCH('Item IDs'!B102,Data!$F$3:$F$500,0),1)),"NOT ASSIGNED",INDEX(Data!$C$3:$F$500,MATCH('Item IDs'!B102,Data!$F$3:$F$500,0),1))</f>
        <v>g. Gross value of cash lent and gross fair value of securities lent in SFTs</v>
      </c>
    </row>
    <row r="103" spans="2:7">
      <c r="B103" s="209">
        <v>1099</v>
      </c>
      <c r="C103" s="210" t="str">
        <f>IF(ISERROR(VLOOKUP(B103,Data!$F$3:$H$500,3,FALSE)),"N/A",VLOOKUP(B103,Data!$F$3:$H$500,3,FALSE))</f>
        <v>14.h.</v>
      </c>
      <c r="D103" s="225" t="str">
        <f t="shared" si="3"/>
        <v>14</v>
      </c>
      <c r="E103" s="220" t="str">
        <f t="shared" si="4"/>
        <v>h</v>
      </c>
      <c r="F103" s="225" t="str">
        <f t="shared" si="5"/>
        <v xml:space="preserve"> </v>
      </c>
      <c r="G103" s="211" t="str">
        <f>IF(ISERROR(INDEX(Data!$C$3:$F$500,MATCH('Item IDs'!B103,Data!$F$3:$F$500,0),1)),"NOT ASSIGNED",INDEX(Data!$C$3:$F$500,MATCH('Item IDs'!B103,Data!$F$3:$F$500,0),1))</f>
        <v>h. Gross value of cash borrowed and gross fair value of securities borrowed in SFTs</v>
      </c>
    </row>
    <row r="104" spans="2:7">
      <c r="B104" s="209">
        <v>1100</v>
      </c>
      <c r="C104" s="210" t="str">
        <f>IF(ISERROR(VLOOKUP(B104,Data!$F$3:$H$500,3,FALSE)),"N/A",VLOOKUP(B104,Data!$F$3:$H$500,3,FALSE))</f>
        <v>14.i.</v>
      </c>
      <c r="D104" s="225" t="str">
        <f t="shared" si="3"/>
        <v>14</v>
      </c>
      <c r="E104" s="220" t="str">
        <f t="shared" si="4"/>
        <v>i</v>
      </c>
      <c r="F104" s="220" t="str">
        <f t="shared" si="5"/>
        <v xml:space="preserve"> </v>
      </c>
      <c r="G104" s="211" t="str">
        <f>IF(ISERROR(INDEX(Data!$C$3:$F$500,MATCH('Item IDs'!B104,Data!$F$3:$F$500,0),1)),"NOT ASSIGNED",INDEX(Data!$C$3:$F$500,MATCH('Item IDs'!B104,Data!$F$3:$F$500,0),1))</f>
        <v>i. Gross positive fair value of over-the-counter (OTC) derivatives transactions</v>
      </c>
    </row>
    <row r="105" spans="2:7">
      <c r="B105" s="209">
        <v>1101</v>
      </c>
      <c r="C105" s="210" t="str">
        <f>IF(ISERROR(VLOOKUP(B105,Data!$F$3:$H$500,3,FALSE)),"N/A",VLOOKUP(B105,Data!$F$3:$H$500,3,FALSE))</f>
        <v>14.j.</v>
      </c>
      <c r="D105" s="225" t="str">
        <f t="shared" si="3"/>
        <v>14</v>
      </c>
      <c r="E105" s="220" t="str">
        <f t="shared" si="4"/>
        <v>j</v>
      </c>
      <c r="F105" s="225" t="str">
        <f t="shared" si="5"/>
        <v xml:space="preserve"> </v>
      </c>
      <c r="G105" s="211" t="str">
        <f>IF(ISERROR(INDEX(Data!$C$3:$F$500,MATCH('Item IDs'!B105,Data!$F$3:$F$500,0),1)),"NOT ASSIGNED",INDEX(Data!$C$3:$F$500,MATCH('Item IDs'!B105,Data!$F$3:$F$500,0),1))</f>
        <v>j. Gross negative fair value of OTC derivatives transactions</v>
      </c>
    </row>
    <row r="106" spans="2:7">
      <c r="B106" s="209">
        <v>1102</v>
      </c>
      <c r="C106" s="210" t="str">
        <f>IF(ISERROR(VLOOKUP(B106,Data!$F$3:$H$500,3,FALSE)),"N/A",VLOOKUP(B106,Data!$F$3:$H$500,3,FALSE))</f>
        <v>14.k.</v>
      </c>
      <c r="D106" s="225" t="str">
        <f t="shared" si="3"/>
        <v>14</v>
      </c>
      <c r="E106" s="220" t="str">
        <f t="shared" si="4"/>
        <v>k</v>
      </c>
      <c r="F106" s="220" t="str">
        <f t="shared" si="5"/>
        <v xml:space="preserve"> </v>
      </c>
      <c r="G106" s="211" t="str">
        <f>IF(ISERROR(INDEX(Data!$C$3:$F$500,MATCH('Item IDs'!B106,Data!$F$3:$F$500,0),1)),"NOT ASSIGNED",INDEX(Data!$C$3:$F$500,MATCH('Item IDs'!B106,Data!$F$3:$F$500,0),1))</f>
        <v xml:space="preserve">k. Number of jurisdictions </v>
      </c>
    </row>
    <row r="107" spans="2:7">
      <c r="B107" s="209">
        <v>1103</v>
      </c>
      <c r="C107" s="210" t="str">
        <f>IF(ISERROR(VLOOKUP(B107,Data!$F$3:$H$500,3,FALSE)),"N/A",VLOOKUP(B107,Data!$F$3:$H$500,3,FALSE))</f>
        <v>15.a.</v>
      </c>
      <c r="D107" s="225" t="str">
        <f t="shared" si="3"/>
        <v>15</v>
      </c>
      <c r="E107" s="220" t="str">
        <f t="shared" si="4"/>
        <v>a</v>
      </c>
      <c r="F107" s="220" t="str">
        <f t="shared" si="5"/>
        <v xml:space="preserve"> </v>
      </c>
      <c r="G107" s="211" t="str">
        <f>IF(ISERROR(INDEX(Data!$C$3:$F$500,MATCH('Item IDs'!B107,Data!$F$3:$F$500,0),1)),"NOT ASSIGNED",INDEX(Data!$C$3:$F$500,MATCH('Item IDs'!B107,Data!$F$3:$F$500,0),1))</f>
        <v>a. Total exposures prior to regulatory adjustments (January 2014 definition)</v>
      </c>
    </row>
    <row r="108" spans="2:7">
      <c r="B108" s="209">
        <v>1104</v>
      </c>
      <c r="C108" s="210" t="str">
        <f>IF(ISERROR(VLOOKUP(B108,Data!$F$3:$H$500,3,FALSE)),"N/A",VLOOKUP(B108,Data!$F$3:$H$500,3,FALSE))</f>
        <v>15.b.</v>
      </c>
      <c r="D108" s="225" t="str">
        <f t="shared" si="3"/>
        <v>15</v>
      </c>
      <c r="E108" s="220" t="str">
        <f t="shared" si="4"/>
        <v>b</v>
      </c>
      <c r="F108" s="220" t="str">
        <f t="shared" si="5"/>
        <v xml:space="preserve"> </v>
      </c>
      <c r="G108" s="211" t="str">
        <f>IF(ISERROR(INDEX(Data!$C$3:$F$500,MATCH('Item IDs'!B108,Data!$F$3:$F$500,0),1)),"NOT ASSIGNED",INDEX(Data!$C$3:$F$500,MATCH('Item IDs'!B108,Data!$F$3:$F$500,0),1))</f>
        <v>b. Total exposures for the calculation of the leverage ratio (January 2014 definition)</v>
      </c>
    </row>
    <row r="109" spans="2:7">
      <c r="B109" s="209">
        <v>1105</v>
      </c>
      <c r="C109" s="210" t="str">
        <f>IF(ISERROR(VLOOKUP(B109,Data!$F$3:$H$500,3,FALSE)),"N/A",VLOOKUP(B109,Data!$F$3:$H$500,3,FALSE))</f>
        <v>15.c.</v>
      </c>
      <c r="D109" s="225" t="str">
        <f t="shared" si="3"/>
        <v>15</v>
      </c>
      <c r="E109" s="220" t="str">
        <f t="shared" si="4"/>
        <v>c</v>
      </c>
      <c r="F109" s="220" t="str">
        <f t="shared" si="5"/>
        <v xml:space="preserve"> </v>
      </c>
      <c r="G109" s="211" t="str">
        <f>IF(ISERROR(INDEX(Data!$C$3:$F$500,MATCH('Item IDs'!B109,Data!$F$3:$F$500,0),1)),"NOT ASSIGNED",INDEX(Data!$C$3:$F$500,MATCH('Item IDs'!B109,Data!$F$3:$F$500,0),1))</f>
        <v>c. Loans obtained from other financial institutions</v>
      </c>
    </row>
    <row r="110" spans="2:7">
      <c r="B110" s="209">
        <v>1106</v>
      </c>
      <c r="C110" s="210" t="str">
        <f>IF(ISERROR(VLOOKUP(B110,Data!$F$3:$H$500,3,FALSE)),"N/A",VLOOKUP(B110,Data!$F$3:$H$500,3,FALSE))</f>
        <v>15.d.</v>
      </c>
      <c r="D110" s="225" t="str">
        <f t="shared" si="3"/>
        <v>15</v>
      </c>
      <c r="E110" s="220" t="str">
        <f t="shared" si="4"/>
        <v>d</v>
      </c>
      <c r="F110" s="220" t="str">
        <f t="shared" si="5"/>
        <v xml:space="preserve"> </v>
      </c>
      <c r="G110" s="211" t="str">
        <f>IF(ISERROR(INDEX(Data!$C$3:$F$500,MATCH('Item IDs'!B110,Data!$F$3:$F$500,0),1)),"NOT ASSIGNED",INDEX(Data!$C$3:$F$500,MATCH('Item IDs'!B110,Data!$F$3:$F$500,0),1))</f>
        <v>d. Certificates of deposit included in items 4.a and 4.b</v>
      </c>
    </row>
    <row r="111" spans="2:7">
      <c r="B111" s="209">
        <v>1107</v>
      </c>
      <c r="C111" s="210" t="str">
        <f>IF(ISERROR(VLOOKUP(B111,Data!$F$3:$H$500,3,FALSE)),"N/A",VLOOKUP(B111,Data!$F$3:$H$500,3,FALSE))</f>
        <v>15.e.</v>
      </c>
      <c r="D111" s="225" t="str">
        <f t="shared" si="3"/>
        <v>15</v>
      </c>
      <c r="E111" s="220" t="str">
        <f t="shared" si="4"/>
        <v>e</v>
      </c>
      <c r="F111" s="220" t="str">
        <f t="shared" si="5"/>
        <v xml:space="preserve"> </v>
      </c>
      <c r="G111" s="211" t="str">
        <f>IF(ISERROR(INDEX(Data!$C$3:$F$500,MATCH('Item IDs'!B111,Data!$F$3:$F$500,0),1)),"NOT ASSIGNED",INDEX(Data!$C$3:$F$500,MATCH('Item IDs'!B111,Data!$F$3:$F$500,0),1))</f>
        <v>e. Held-to-maturity securities</v>
      </c>
    </row>
    <row r="112" spans="2:7">
      <c r="B112" s="209">
        <v>1108</v>
      </c>
      <c r="C112" s="210" t="str">
        <f>IF(ISERROR(VLOOKUP(B112,Data!$F$3:$H$500,3,FALSE)),"N/A",VLOOKUP(B112,Data!$F$3:$H$500,3,FALSE))</f>
        <v>15.f.(1)</v>
      </c>
      <c r="D112" s="225" t="str">
        <f t="shared" si="3"/>
        <v>15</v>
      </c>
      <c r="E112" s="220" t="str">
        <f t="shared" si="4"/>
        <v>f</v>
      </c>
      <c r="F112" s="220" t="str">
        <f t="shared" si="5"/>
        <v>1</v>
      </c>
      <c r="G112" s="211" t="str">
        <f>IF(ISERROR(INDEX(Data!$C$3:$F$500,MATCH('Item IDs'!B112,Data!$F$3:$F$500,0),1)),"NOT ASSIGNED",INDEX(Data!$C$3:$F$500,MATCH('Item IDs'!B112,Data!$F$3:$F$500,0),1))</f>
        <v>(1) Mexican pesos</v>
      </c>
    </row>
    <row r="113" spans="2:7">
      <c r="B113" s="209">
        <v>1109</v>
      </c>
      <c r="C113" s="210" t="str">
        <f>IF(ISERROR(VLOOKUP(B113,Data!$F$3:$H$500,3,FALSE)),"N/A",VLOOKUP(B113,Data!$F$3:$H$500,3,FALSE))</f>
        <v>15.f.(2)</v>
      </c>
      <c r="D113" s="225" t="str">
        <f t="shared" si="3"/>
        <v>15</v>
      </c>
      <c r="E113" s="220" t="str">
        <f t="shared" si="4"/>
        <v>f</v>
      </c>
      <c r="F113" s="220" t="str">
        <f t="shared" si="5"/>
        <v>2</v>
      </c>
      <c r="G113" s="211" t="str">
        <f>IF(ISERROR(INDEX(Data!$C$3:$F$500,MATCH('Item IDs'!B113,Data!$F$3:$F$500,0),1)),"NOT ASSIGNED",INDEX(Data!$C$3:$F$500,MATCH('Item IDs'!B113,Data!$F$3:$F$500,0),1))</f>
        <v>(2) New Zealand dollars</v>
      </c>
    </row>
    <row r="114" spans="2:7">
      <c r="B114" s="209">
        <v>1110</v>
      </c>
      <c r="C114" s="210" t="str">
        <f>IF(ISERROR(VLOOKUP(B114,Data!$F$3:$H$500,3,FALSE)),"N/A",VLOOKUP(B114,Data!$F$3:$H$500,3,FALSE))</f>
        <v>15.f.(3)</v>
      </c>
      <c r="D114" s="225" t="str">
        <f t="shared" si="3"/>
        <v>15</v>
      </c>
      <c r="E114" s="220" t="str">
        <f t="shared" si="4"/>
        <v>f</v>
      </c>
      <c r="F114" s="220" t="str">
        <f t="shared" si="5"/>
        <v>3</v>
      </c>
      <c r="G114" s="211" t="str">
        <f>IF(ISERROR(INDEX(Data!$C$3:$F$500,MATCH('Item IDs'!B114,Data!$F$3:$F$500,0),1)),"NOT ASSIGNED",INDEX(Data!$C$3:$F$500,MATCH('Item IDs'!B114,Data!$F$3:$F$500,0),1))</f>
        <v>(3) Russian rubles</v>
      </c>
    </row>
    <row r="115" spans="2:7">
      <c r="B115" s="209">
        <v>1111</v>
      </c>
      <c r="C115" s="210" t="str">
        <f>IF(ISERROR(VLOOKUP(B115,Data!$F$3:$H$500,3,FALSE)),"N/A",VLOOKUP(B115,Data!$F$3:$H$500,3,FALSE))</f>
        <v>16.a.</v>
      </c>
      <c r="D115" s="225" t="str">
        <f t="shared" si="3"/>
        <v>16</v>
      </c>
      <c r="E115" s="220" t="str">
        <f t="shared" si="4"/>
        <v>a</v>
      </c>
      <c r="F115" s="220" t="str">
        <f t="shared" si="5"/>
        <v xml:space="preserve"> </v>
      </c>
      <c r="G115" s="211" t="str">
        <f>IF(ISERROR(INDEX(Data!$C$3:$F$500,MATCH('Item IDs'!B115,Data!$F$3:$F$500,0),1)),"NOT ASSIGNED",INDEX(Data!$C$3:$F$500,MATCH('Item IDs'!B115,Data!$F$3:$F$500,0),1))</f>
        <v>a. Total assets under the regulatory scope of consolidation</v>
      </c>
    </row>
    <row r="116" spans="2:7">
      <c r="B116" s="209">
        <v>1112</v>
      </c>
      <c r="C116" s="210" t="str">
        <f>IF(ISERROR(VLOOKUP(B116,Data!$F$3:$H$500,3,FALSE)),"N/A",VLOOKUP(B116,Data!$F$3:$H$500,3,FALSE))</f>
        <v>16.b.</v>
      </c>
      <c r="D116" s="225" t="str">
        <f t="shared" si="3"/>
        <v>16</v>
      </c>
      <c r="E116" s="220" t="str">
        <f t="shared" si="4"/>
        <v>b</v>
      </c>
      <c r="F116" s="220" t="str">
        <f t="shared" si="5"/>
        <v xml:space="preserve"> </v>
      </c>
      <c r="G116" s="211" t="str">
        <f>IF(ISERROR(INDEX(Data!$C$3:$F$500,MATCH('Item IDs'!B116,Data!$F$3:$F$500,0),1)),"NOT ASSIGNED",INDEX(Data!$C$3:$F$500,MATCH('Item IDs'!B116,Data!$F$3:$F$500,0),1))</f>
        <v>b. Total assets under the accounting scope of consolidation</v>
      </c>
    </row>
    <row r="117" spans="2:7">
      <c r="B117" s="209">
        <v>1113</v>
      </c>
      <c r="C117" s="210" t="str">
        <f>IF(ISERROR(VLOOKUP(B117,Data!$F$3:$H$500,3,FALSE)),"N/A",VLOOKUP(B117,Data!$F$3:$H$500,3,FALSE))</f>
        <v>16.c.</v>
      </c>
      <c r="D117" s="225" t="str">
        <f t="shared" si="3"/>
        <v>16</v>
      </c>
      <c r="E117" s="220" t="str">
        <f t="shared" si="4"/>
        <v>c</v>
      </c>
      <c r="F117" s="220" t="str">
        <f t="shared" si="5"/>
        <v xml:space="preserve"> </v>
      </c>
      <c r="G117" s="211" t="str">
        <f>IF(ISERROR(INDEX(Data!$C$3:$F$500,MATCH('Item IDs'!B117,Data!$F$3:$F$500,0),1)),"NOT ASSIGNED",INDEX(Data!$C$3:$F$500,MATCH('Item IDs'!B117,Data!$F$3:$F$500,0),1))</f>
        <v>c. Total assets of insurance subsidiaries gross of intragroup exposures</v>
      </c>
    </row>
    <row r="118" spans="2:7">
      <c r="B118" s="209">
        <v>1114</v>
      </c>
      <c r="C118" s="210" t="str">
        <f>IF(ISERROR(VLOOKUP(B118,Data!$F$3:$H$500,3,FALSE)),"N/A",VLOOKUP(B118,Data!$F$3:$H$500,3,FALSE))</f>
        <v>16.d.</v>
      </c>
      <c r="D118" s="225" t="str">
        <f t="shared" si="3"/>
        <v>16</v>
      </c>
      <c r="E118" s="220" t="str">
        <f t="shared" si="4"/>
        <v>d</v>
      </c>
      <c r="F118" s="220" t="str">
        <f t="shared" si="5"/>
        <v xml:space="preserve"> </v>
      </c>
      <c r="G118" s="211" t="str">
        <f>IF(ISERROR(INDEX(Data!$C$3:$F$500,MATCH('Item IDs'!B118,Data!$F$3:$F$500,0),1)),"NOT ASSIGNED",INDEX(Data!$C$3:$F$500,MATCH('Item IDs'!B118,Data!$F$3:$F$500,0),1))</f>
        <v>d. Total assets of insurance subsidiaries net of non-insurance intragroup exposures</v>
      </c>
    </row>
    <row r="119" spans="2:7">
      <c r="B119" s="209">
        <v>1115</v>
      </c>
      <c r="C119" s="210" t="str">
        <f>IF(ISERROR(VLOOKUP(B119,Data!$F$3:$H$500,3,FALSE)),"N/A",VLOOKUP(B119,Data!$F$3:$H$500,3,FALSE))</f>
        <v>16.e.</v>
      </c>
      <c r="D119" s="225" t="str">
        <f t="shared" si="3"/>
        <v>16</v>
      </c>
      <c r="E119" s="220" t="str">
        <f t="shared" si="4"/>
        <v>e</v>
      </c>
      <c r="F119" s="220" t="str">
        <f t="shared" si="5"/>
        <v xml:space="preserve"> </v>
      </c>
      <c r="G119" s="211" t="str">
        <f>IF(ISERROR(INDEX(Data!$C$3:$F$500,MATCH('Item IDs'!B119,Data!$F$3:$F$500,0),1)),"NOT ASSIGNED",INDEX(Data!$C$3:$F$500,MATCH('Item IDs'!B119,Data!$F$3:$F$500,0),1))</f>
        <v>e. Total off-balance-sheet assets of insurance subsidiaries gross of intragroup exposures</v>
      </c>
    </row>
    <row r="120" spans="2:7">
      <c r="B120" s="209">
        <v>1116</v>
      </c>
      <c r="C120" s="210" t="str">
        <f>IF(ISERROR(VLOOKUP(B120,Data!$F$3:$H$500,3,FALSE)),"N/A",VLOOKUP(B120,Data!$F$3:$H$500,3,FALSE))</f>
        <v>16.f.</v>
      </c>
      <c r="D120" s="225" t="str">
        <f t="shared" si="3"/>
        <v>16</v>
      </c>
      <c r="E120" s="220" t="str">
        <f t="shared" si="4"/>
        <v>f</v>
      </c>
      <c r="F120" s="220" t="str">
        <f t="shared" si="5"/>
        <v xml:space="preserve"> </v>
      </c>
      <c r="G120" s="211" t="str">
        <f>IF(ISERROR(INDEX(Data!$C$3:$F$500,MATCH('Item IDs'!B120,Data!$F$3:$F$500,0),1)),"NOT ASSIGNED",INDEX(Data!$C$3:$F$500,MATCH('Item IDs'!B120,Data!$F$3:$F$500,0),1))</f>
        <v>f. Total off-balance-sheet assets of insurance subsidiaries net of non-insurance intragroup exposures</v>
      </c>
    </row>
    <row r="121" spans="2:7">
      <c r="B121" s="209">
        <v>1117</v>
      </c>
      <c r="C121" s="210" t="str">
        <f>IF(ISERROR(VLOOKUP(B121,Data!$F$3:$H$500,3,FALSE)),"N/A",VLOOKUP(B121,Data!$F$3:$H$500,3,FALSE))</f>
        <v>16.g.</v>
      </c>
      <c r="D121" s="225" t="str">
        <f t="shared" si="3"/>
        <v>16</v>
      </c>
      <c r="E121" s="220" t="str">
        <f t="shared" si="4"/>
        <v>g</v>
      </c>
      <c r="F121" s="220" t="str">
        <f t="shared" si="5"/>
        <v xml:space="preserve"> </v>
      </c>
      <c r="G121" s="211" t="str">
        <f>IF(ISERROR(INDEX(Data!$C$3:$F$500,MATCH('Item IDs'!B121,Data!$F$3:$F$500,0),1)),"NOT ASSIGNED",INDEX(Data!$C$3:$F$500,MATCH('Item IDs'!B121,Data!$F$3:$F$500,0),1))</f>
        <v>g. Total exposures including investments in insurance subs outside the regulatory scope of consolidation</v>
      </c>
    </row>
    <row r="122" spans="2:7">
      <c r="B122" s="209">
        <v>1118</v>
      </c>
      <c r="C122" s="210" t="str">
        <f>IF(ISERROR(VLOOKUP(B122,Data!$F$3:$H$500,3,FALSE)),"N/A",VLOOKUP(B122,Data!$F$3:$H$500,3,FALSE))</f>
        <v>17.a.</v>
      </c>
      <c r="D122" s="225" t="str">
        <f t="shared" si="3"/>
        <v>17</v>
      </c>
      <c r="E122" s="220" t="str">
        <f t="shared" si="4"/>
        <v>a</v>
      </c>
      <c r="F122" s="220" t="str">
        <f t="shared" si="5"/>
        <v xml:space="preserve"> </v>
      </c>
      <c r="G122" s="211" t="str">
        <f>IF(ISERROR(INDEX(Data!$C$3:$F$500,MATCH('Item IDs'!B122,Data!$F$3:$F$500,0),1)),"NOT ASSIGNED",INDEX(Data!$C$3:$F$500,MATCH('Item IDs'!B122,Data!$F$3:$F$500,0),1))</f>
        <v>a. Book value of equities for which a market price is unavailable</v>
      </c>
    </row>
    <row r="123" spans="2:7">
      <c r="B123" s="209">
        <v>1119</v>
      </c>
      <c r="C123" s="210" t="str">
        <f>IF(ISERROR(VLOOKUP(B123,Data!$F$3:$H$500,3,FALSE)),"N/A",VLOOKUP(B123,Data!$F$3:$H$500,3,FALSE))</f>
        <v>17.b.</v>
      </c>
      <c r="D123" s="225" t="str">
        <f t="shared" si="3"/>
        <v>17</v>
      </c>
      <c r="E123" s="220" t="str">
        <f t="shared" si="4"/>
        <v>b</v>
      </c>
      <c r="F123" s="220" t="str">
        <f t="shared" si="5"/>
        <v xml:space="preserve"> </v>
      </c>
      <c r="G123" s="211" t="str">
        <f>IF(ISERROR(INDEX(Data!$C$3:$F$500,MATCH('Item IDs'!B123,Data!$F$3:$F$500,0),1)),"NOT ASSIGNED",INDEX(Data!$C$3:$F$500,MATCH('Item IDs'!B123,Data!$F$3:$F$500,0),1))</f>
        <v>b. Certificates of mutual banks</v>
      </c>
    </row>
    <row r="124" spans="2:7">
      <c r="B124" s="209">
        <v>1120</v>
      </c>
      <c r="C124" s="210" t="str">
        <f>IF(ISERROR(VLOOKUP(B124,Data!$F$3:$H$500,3,FALSE)),"N/A",VLOOKUP(B124,Data!$F$3:$H$500,3,FALSE))</f>
        <v>17.c.</v>
      </c>
      <c r="D124" s="225" t="str">
        <f t="shared" si="3"/>
        <v>17</v>
      </c>
      <c r="E124" s="220" t="str">
        <f t="shared" si="4"/>
        <v>c</v>
      </c>
      <c r="F124" s="220" t="str">
        <f t="shared" si="5"/>
        <v xml:space="preserve"> </v>
      </c>
      <c r="G124" s="211" t="str">
        <f>IF(ISERROR(INDEX(Data!$C$3:$F$500,MATCH('Item IDs'!B124,Data!$F$3:$F$500,0),1)),"NOT ASSIGNED",INDEX(Data!$C$3:$F$500,MATCH('Item IDs'!B124,Data!$F$3:$F$500,0),1))</f>
        <v>c. Minority interest</v>
      </c>
    </row>
    <row r="125" spans="2:7">
      <c r="B125" s="209">
        <v>1121</v>
      </c>
      <c r="C125" s="210" t="str">
        <f>IF(ISERROR(VLOOKUP(B125,Data!$F$3:$H$500,3,FALSE)),"N/A",VLOOKUP(B125,Data!$F$3:$H$500,3,FALSE))</f>
        <v>18.a.(1)</v>
      </c>
      <c r="D125" s="225" t="str">
        <f t="shared" si="3"/>
        <v>18</v>
      </c>
      <c r="E125" s="220" t="str">
        <f t="shared" si="4"/>
        <v>a</v>
      </c>
      <c r="F125" s="220" t="str">
        <f t="shared" si="5"/>
        <v>1</v>
      </c>
      <c r="G125" s="211" t="str">
        <f>IF(ISERROR(INDEX(Data!$C$3:$F$500,MATCH('Item IDs'!B125,Data!$F$3:$F$500,0),1)),"NOT ASSIGNED",INDEX(Data!$C$3:$F$500,MATCH('Item IDs'!B125,Data!$F$3:$F$500,0),1))</f>
        <v>(1) Australian dollars</v>
      </c>
    </row>
    <row r="126" spans="2:7">
      <c r="B126" s="209">
        <v>1122</v>
      </c>
      <c r="C126" s="210" t="str">
        <f>IF(ISERROR(VLOOKUP(B126,Data!$F$3:$H$500,3,FALSE)),"N/A",VLOOKUP(B126,Data!$F$3:$H$500,3,FALSE))</f>
        <v>18.a.(2)</v>
      </c>
      <c r="D126" s="225" t="str">
        <f t="shared" si="3"/>
        <v>18</v>
      </c>
      <c r="E126" s="220" t="str">
        <f t="shared" si="4"/>
        <v>a</v>
      </c>
      <c r="F126" s="220" t="str">
        <f t="shared" si="5"/>
        <v>2</v>
      </c>
      <c r="G126" s="211" t="str">
        <f>IF(ISERROR(INDEX(Data!$C$3:$F$500,MATCH('Item IDs'!B126,Data!$F$3:$F$500,0),1)),"NOT ASSIGNED",INDEX(Data!$C$3:$F$500,MATCH('Item IDs'!B126,Data!$F$3:$F$500,0),1))</f>
        <v>(2) Brazilian real</v>
      </c>
    </row>
    <row r="127" spans="2:7">
      <c r="B127" s="209">
        <v>1123</v>
      </c>
      <c r="C127" s="210" t="str">
        <f>IF(ISERROR(VLOOKUP(B127,Data!$F$3:$H$500,3,FALSE)),"N/A",VLOOKUP(B127,Data!$F$3:$H$500,3,FALSE))</f>
        <v>18.a.(3)</v>
      </c>
      <c r="D127" s="225" t="str">
        <f t="shared" si="3"/>
        <v>18</v>
      </c>
      <c r="E127" s="220" t="str">
        <f t="shared" si="4"/>
        <v>a</v>
      </c>
      <c r="F127" s="220" t="str">
        <f t="shared" si="5"/>
        <v>3</v>
      </c>
      <c r="G127" s="211" t="str">
        <f>IF(ISERROR(INDEX(Data!$C$3:$F$500,MATCH('Item IDs'!B127,Data!$F$3:$F$500,0),1)),"NOT ASSIGNED",INDEX(Data!$C$3:$F$500,MATCH('Item IDs'!B127,Data!$F$3:$F$500,0),1))</f>
        <v>(3) Canadian dollars</v>
      </c>
    </row>
    <row r="128" spans="2:7">
      <c r="B128" s="209">
        <v>1124</v>
      </c>
      <c r="C128" s="210" t="str">
        <f>IF(ISERROR(VLOOKUP(B128,Data!$F$3:$H$500,3,FALSE)),"N/A",VLOOKUP(B128,Data!$F$3:$H$500,3,FALSE))</f>
        <v>18.a.(4)</v>
      </c>
      <c r="D128" s="225" t="str">
        <f t="shared" si="3"/>
        <v>18</v>
      </c>
      <c r="E128" s="220" t="str">
        <f t="shared" si="4"/>
        <v>a</v>
      </c>
      <c r="F128" s="220" t="str">
        <f t="shared" si="5"/>
        <v>4</v>
      </c>
      <c r="G128" s="211" t="str">
        <f>IF(ISERROR(INDEX(Data!$C$3:$F$500,MATCH('Item IDs'!B128,Data!$F$3:$F$500,0),1)),"NOT ASSIGNED",INDEX(Data!$C$3:$F$500,MATCH('Item IDs'!B128,Data!$F$3:$F$500,0),1))</f>
        <v>(4) Swiss francs</v>
      </c>
    </row>
    <row r="129" spans="2:7">
      <c r="B129" s="209">
        <v>1125</v>
      </c>
      <c r="C129" s="210" t="str">
        <f>IF(ISERROR(VLOOKUP(B129,Data!$F$3:$H$500,3,FALSE)),"N/A",VLOOKUP(B129,Data!$F$3:$H$500,3,FALSE))</f>
        <v>18.a.(5)</v>
      </c>
      <c r="D129" s="225" t="str">
        <f t="shared" si="3"/>
        <v>18</v>
      </c>
      <c r="E129" s="220" t="str">
        <f t="shared" si="4"/>
        <v>a</v>
      </c>
      <c r="F129" s="220" t="str">
        <f t="shared" si="5"/>
        <v>5</v>
      </c>
      <c r="G129" s="211" t="str">
        <f>IF(ISERROR(INDEX(Data!$C$3:$F$500,MATCH('Item IDs'!B129,Data!$F$3:$F$500,0),1)),"NOT ASSIGNED",INDEX(Data!$C$3:$F$500,MATCH('Item IDs'!B129,Data!$F$3:$F$500,0),1))</f>
        <v>(5) Chinese yuan</v>
      </c>
    </row>
    <row r="130" spans="2:7">
      <c r="B130" s="209">
        <v>1126</v>
      </c>
      <c r="C130" s="210" t="str">
        <f>IF(ISERROR(VLOOKUP(B130,Data!$F$3:$H$500,3,FALSE)),"N/A",VLOOKUP(B130,Data!$F$3:$H$500,3,FALSE))</f>
        <v>18.a.(6)</v>
      </c>
      <c r="D130" s="225" t="str">
        <f t="shared" si="3"/>
        <v>18</v>
      </c>
      <c r="E130" s="220" t="str">
        <f t="shared" si="4"/>
        <v>a</v>
      </c>
      <c r="F130" s="220" t="str">
        <f t="shared" si="5"/>
        <v>6</v>
      </c>
      <c r="G130" s="211" t="str">
        <f>IF(ISERROR(INDEX(Data!$C$3:$F$500,MATCH('Item IDs'!B130,Data!$F$3:$F$500,0),1)),"NOT ASSIGNED",INDEX(Data!$C$3:$F$500,MATCH('Item IDs'!B130,Data!$F$3:$F$500,0),1))</f>
        <v>(6) Euros</v>
      </c>
    </row>
    <row r="131" spans="2:7">
      <c r="B131" s="209">
        <v>1127</v>
      </c>
      <c r="C131" s="210" t="str">
        <f>IF(ISERROR(VLOOKUP(B131,Data!$F$3:$H$500,3,FALSE)),"N/A",VLOOKUP(B131,Data!$F$3:$H$500,3,FALSE))</f>
        <v>18.a.(7)</v>
      </c>
      <c r="D131" s="225" t="str">
        <f t="shared" si="3"/>
        <v>18</v>
      </c>
      <c r="E131" s="220" t="str">
        <f t="shared" si="4"/>
        <v>a</v>
      </c>
      <c r="F131" s="220" t="str">
        <f t="shared" si="5"/>
        <v>7</v>
      </c>
      <c r="G131" s="211" t="str">
        <f>IF(ISERROR(INDEX(Data!$C$3:$F$500,MATCH('Item IDs'!B131,Data!$F$3:$F$500,0),1)),"NOT ASSIGNED",INDEX(Data!$C$3:$F$500,MATCH('Item IDs'!B131,Data!$F$3:$F$500,0),1))</f>
        <v>(7) British pounds</v>
      </c>
    </row>
    <row r="132" spans="2:7">
      <c r="B132" s="209">
        <v>1128</v>
      </c>
      <c r="C132" s="210" t="str">
        <f>IF(ISERROR(VLOOKUP(B132,Data!$F$3:$H$500,3,FALSE)),"N/A",VLOOKUP(B132,Data!$F$3:$H$500,3,FALSE))</f>
        <v>18.a.(8)</v>
      </c>
      <c r="D132" s="225" t="str">
        <f t="shared" si="3"/>
        <v>18</v>
      </c>
      <c r="E132" s="220" t="str">
        <f t="shared" si="4"/>
        <v>a</v>
      </c>
      <c r="F132" s="220" t="str">
        <f t="shared" si="5"/>
        <v>8</v>
      </c>
      <c r="G132" s="211" t="str">
        <f>IF(ISERROR(INDEX(Data!$C$3:$F$500,MATCH('Item IDs'!B132,Data!$F$3:$F$500,0),1)),"NOT ASSIGNED",INDEX(Data!$C$3:$F$500,MATCH('Item IDs'!B132,Data!$F$3:$F$500,0),1))</f>
        <v>(8) Hong Kong dollars</v>
      </c>
    </row>
    <row r="133" spans="2:7">
      <c r="B133" s="209">
        <v>1129</v>
      </c>
      <c r="C133" s="210" t="str">
        <f>IF(ISERROR(VLOOKUP(B133,Data!$F$3:$H$500,3,FALSE)),"N/A",VLOOKUP(B133,Data!$F$3:$H$500,3,FALSE))</f>
        <v>18.a.(9)</v>
      </c>
      <c r="D133" s="225" t="str">
        <f t="shared" ref="D133:D196" si="6">IF(ISERROR(FIND(".",C133))," ",LEFT(C133,FIND(".",C133)-1))</f>
        <v>18</v>
      </c>
      <c r="E133" s="220" t="str">
        <f t="shared" ref="E133:E196" si="7">IF(ISERROR(FIND(".",C133))," ",LEFT(RIGHT(C133,LEN(C133)-FIND(".",C133)),FIND(".",RIGHT(C133,LEN(C133)-FIND(".",C133)))-1))</f>
        <v>a</v>
      </c>
      <c r="F133" s="225" t="str">
        <f t="shared" ref="F133:F196" si="8">IF(ISERROR(FIND("(",C133))," ",MID(C133,FIND("(",C133)+1,FIND(")",C133)-FIND("(",C133)-1))</f>
        <v>9</v>
      </c>
      <c r="G133" s="211" t="str">
        <f>IF(ISERROR(INDEX(Data!$C$3:$F$500,MATCH('Item IDs'!B133,Data!$F$3:$F$500,0),1)),"NOT ASSIGNED",INDEX(Data!$C$3:$F$500,MATCH('Item IDs'!B133,Data!$F$3:$F$500,0),1))</f>
        <v>(9) Indian rupee</v>
      </c>
    </row>
    <row r="134" spans="2:7">
      <c r="B134" s="209">
        <v>1130</v>
      </c>
      <c r="C134" s="210" t="str">
        <f>IF(ISERROR(VLOOKUP(B134,Data!$F$3:$H$500,3,FALSE)),"N/A",VLOOKUP(B134,Data!$F$3:$H$500,3,FALSE))</f>
        <v>18.a.(10)</v>
      </c>
      <c r="D134" s="225" t="str">
        <f t="shared" si="6"/>
        <v>18</v>
      </c>
      <c r="E134" s="220" t="str">
        <f t="shared" si="7"/>
        <v>a</v>
      </c>
      <c r="F134" s="225" t="str">
        <f t="shared" si="8"/>
        <v>10</v>
      </c>
      <c r="G134" s="211" t="str">
        <f>IF(ISERROR(INDEX(Data!$C$3:$F$500,MATCH('Item IDs'!B134,Data!$F$3:$F$500,0),1)),"NOT ASSIGNED",INDEX(Data!$C$3:$F$500,MATCH('Item IDs'!B134,Data!$F$3:$F$500,0),1))</f>
        <v>(10) Japanese yen</v>
      </c>
    </row>
    <row r="135" spans="2:7">
      <c r="B135" s="209">
        <v>1131</v>
      </c>
      <c r="C135" s="210" t="str">
        <f>IF(ISERROR(VLOOKUP(B135,Data!$F$3:$H$500,3,FALSE)),"N/A",VLOOKUP(B135,Data!$F$3:$H$500,3,FALSE))</f>
        <v>18.a.(11)</v>
      </c>
      <c r="D135" s="225" t="str">
        <f t="shared" si="6"/>
        <v>18</v>
      </c>
      <c r="E135" s="220" t="str">
        <f t="shared" si="7"/>
        <v>a</v>
      </c>
      <c r="F135" s="225" t="str">
        <f t="shared" si="8"/>
        <v>11</v>
      </c>
      <c r="G135" s="211" t="str">
        <f>IF(ISERROR(INDEX(Data!$C$3:$F$500,MATCH('Item IDs'!B135,Data!$F$3:$F$500,0),1)),"NOT ASSIGNED",INDEX(Data!$C$3:$F$500,MATCH('Item IDs'!B135,Data!$F$3:$F$500,0),1))</f>
        <v>(11) Swedish krona</v>
      </c>
    </row>
    <row r="136" spans="2:7">
      <c r="B136" s="209">
        <v>1132</v>
      </c>
      <c r="C136" s="210" t="str">
        <f>IF(ISERROR(VLOOKUP(B136,Data!$F$3:$H$500,3,FALSE)),"N/A",VLOOKUP(B136,Data!$F$3:$H$500,3,FALSE))</f>
        <v>18.a.(12)</v>
      </c>
      <c r="D136" s="225" t="str">
        <f t="shared" si="6"/>
        <v>18</v>
      </c>
      <c r="E136" s="220" t="str">
        <f t="shared" si="7"/>
        <v>a</v>
      </c>
      <c r="F136" s="225" t="str">
        <f t="shared" si="8"/>
        <v>12</v>
      </c>
      <c r="G136" s="211" t="str">
        <f>IF(ISERROR(INDEX(Data!$C$3:$F$500,MATCH('Item IDs'!B136,Data!$F$3:$F$500,0),1)),"NOT ASSIGNED",INDEX(Data!$C$3:$F$500,MATCH('Item IDs'!B136,Data!$F$3:$F$500,0),1))</f>
        <v>(12) United States dollars</v>
      </c>
    </row>
    <row r="137" spans="2:7">
      <c r="B137" s="209">
        <v>1133</v>
      </c>
      <c r="C137" s="210" t="str">
        <f>IF(ISERROR(VLOOKUP(B137,Data!$F$3:$H$500,3,FALSE)),"N/A",VLOOKUP(B137,Data!$F$3:$H$500,3,FALSE))</f>
        <v>18.a.(13)</v>
      </c>
      <c r="D137" s="225" t="str">
        <f t="shared" si="6"/>
        <v>18</v>
      </c>
      <c r="E137" s="220" t="str">
        <f t="shared" si="7"/>
        <v>a</v>
      </c>
      <c r="F137" s="225" t="str">
        <f t="shared" si="8"/>
        <v>13</v>
      </c>
      <c r="G137" s="211" t="str">
        <f>IF(ISERROR(INDEX(Data!$C$3:$F$500,MATCH('Item IDs'!B137,Data!$F$3:$F$500,0),1)),"NOT ASSIGNED",INDEX(Data!$C$3:$F$500,MATCH('Item IDs'!B137,Data!$F$3:$F$500,0),1))</f>
        <v>(13) Mexican pesos</v>
      </c>
    </row>
    <row r="138" spans="2:7">
      <c r="B138" s="209">
        <v>1134</v>
      </c>
      <c r="C138" s="210" t="str">
        <f>IF(ISERROR(VLOOKUP(B138,Data!$F$3:$H$500,3,FALSE)),"N/A",VLOOKUP(B138,Data!$F$3:$H$500,3,FALSE))</f>
        <v>18.a.(14)</v>
      </c>
      <c r="D138" s="225" t="str">
        <f t="shared" si="6"/>
        <v>18</v>
      </c>
      <c r="E138" s="220" t="str">
        <f t="shared" si="7"/>
        <v>a</v>
      </c>
      <c r="F138" s="225" t="str">
        <f t="shared" si="8"/>
        <v>14</v>
      </c>
      <c r="G138" s="211" t="str">
        <f>IF(ISERROR(INDEX(Data!$C$3:$F$500,MATCH('Item IDs'!B138,Data!$F$3:$F$500,0),1)),"NOT ASSIGNED",INDEX(Data!$C$3:$F$500,MATCH('Item IDs'!B138,Data!$F$3:$F$500,0),1))</f>
        <v>(14) New Zealand dollars</v>
      </c>
    </row>
    <row r="139" spans="2:7">
      <c r="B139" s="209">
        <v>1135</v>
      </c>
      <c r="C139" s="210" t="str">
        <f>IF(ISERROR(VLOOKUP(B139,Data!$F$3:$H$500,3,FALSE)),"N/A",VLOOKUP(B139,Data!$F$3:$H$500,3,FALSE))</f>
        <v>18.a.(15)</v>
      </c>
      <c r="D139" s="225" t="str">
        <f t="shared" si="6"/>
        <v>18</v>
      </c>
      <c r="E139" s="220" t="str">
        <f t="shared" si="7"/>
        <v>a</v>
      </c>
      <c r="F139" s="225" t="str">
        <f t="shared" si="8"/>
        <v>15</v>
      </c>
      <c r="G139" s="211" t="str">
        <f>IF(ISERROR(INDEX(Data!$C$3:$F$500,MATCH('Item IDs'!B139,Data!$F$3:$F$500,0),1)),"NOT ASSIGNED",INDEX(Data!$C$3:$F$500,MATCH('Item IDs'!B139,Data!$F$3:$F$500,0),1))</f>
        <v>(15) Russian rubles</v>
      </c>
    </row>
    <row r="140" spans="2:7">
      <c r="B140" s="209">
        <v>1136</v>
      </c>
      <c r="C140" s="210" t="str">
        <f>IF(ISERROR(VLOOKUP(B140,Data!$F$3:$H$500,3,FALSE)),"N/A",VLOOKUP(B140,Data!$F$3:$H$500,3,FALSE))</f>
        <v>18.b.</v>
      </c>
      <c r="D140" s="225" t="str">
        <f t="shared" si="6"/>
        <v>18</v>
      </c>
      <c r="E140" s="220" t="str">
        <f t="shared" si="7"/>
        <v>b</v>
      </c>
      <c r="F140" s="225" t="str">
        <f t="shared" si="8"/>
        <v xml:space="preserve"> </v>
      </c>
      <c r="G140" s="211" t="str">
        <f>IF(ISERROR(INDEX(Data!$C$3:$F$500,MATCH('Item IDs'!B140,Data!$F$3:$F$500,0),1)),"NOT ASSIGNED",INDEX(Data!$C$3:$F$500,MATCH('Item IDs'!B140,Data!$F$3:$F$500,0),1))</f>
        <v>b  Trading volume of securities issued by sovereigns</v>
      </c>
    </row>
    <row r="141" spans="2:7">
      <c r="B141" s="209">
        <v>1137</v>
      </c>
      <c r="C141" s="210" t="str">
        <f>IF(ISERROR(VLOOKUP(B141,Data!$F$3:$H$500,3,FALSE)),"N/A",VLOOKUP(B141,Data!$F$3:$H$500,3,FALSE))</f>
        <v>18.c.</v>
      </c>
      <c r="D141" s="225" t="str">
        <f t="shared" si="6"/>
        <v>18</v>
      </c>
      <c r="E141" s="220" t="str">
        <f t="shared" si="7"/>
        <v>c</v>
      </c>
      <c r="F141" s="225" t="str">
        <f t="shared" si="8"/>
        <v xml:space="preserve"> </v>
      </c>
      <c r="G141" s="211" t="str">
        <f>IF(ISERROR(INDEX(Data!$C$3:$F$500,MATCH('Item IDs'!B141,Data!$F$3:$F$500,0),1)),"NOT ASSIGNED",INDEX(Data!$C$3:$F$500,MATCH('Item IDs'!B141,Data!$F$3:$F$500,0),1))</f>
        <v>c. Trading volume of securities issued by other public sector entities</v>
      </c>
    </row>
    <row r="142" spans="2:7">
      <c r="B142" s="209">
        <v>1138</v>
      </c>
      <c r="C142" s="210" t="str">
        <f>IF(ISERROR(VLOOKUP(B142,Data!$F$3:$H$500,3,FALSE)),"N/A",VLOOKUP(B142,Data!$F$3:$H$500,3,FALSE))</f>
        <v>18.d.</v>
      </c>
      <c r="D142" s="225" t="str">
        <f t="shared" si="6"/>
        <v>18</v>
      </c>
      <c r="E142" s="220" t="str">
        <f t="shared" si="7"/>
        <v>d</v>
      </c>
      <c r="F142" s="225" t="str">
        <f t="shared" si="8"/>
        <v xml:space="preserve"> </v>
      </c>
      <c r="G142" s="211" t="str">
        <f>IF(ISERROR(INDEX(Data!$C$3:$F$500,MATCH('Item IDs'!B142,Data!$F$3:$F$500,0),1)),"NOT ASSIGNED",INDEX(Data!$C$3:$F$500,MATCH('Item IDs'!B142,Data!$F$3:$F$500,0),1))</f>
        <v>d. Trading volume of other fixed income securities</v>
      </c>
    </row>
    <row r="143" spans="2:7">
      <c r="B143" s="209">
        <v>1139</v>
      </c>
      <c r="C143" s="210" t="str">
        <f>IF(ISERROR(VLOOKUP(B143,Data!$F$3:$H$500,3,FALSE)),"N/A",VLOOKUP(B143,Data!$F$3:$H$500,3,FALSE))</f>
        <v>18.e.</v>
      </c>
      <c r="D143" s="225" t="str">
        <f t="shared" si="6"/>
        <v>18</v>
      </c>
      <c r="E143" s="220" t="str">
        <f t="shared" si="7"/>
        <v>e</v>
      </c>
      <c r="F143" s="225" t="str">
        <f t="shared" si="8"/>
        <v xml:space="preserve"> </v>
      </c>
      <c r="G143" s="211" t="str">
        <f>IF(ISERROR(INDEX(Data!$C$3:$F$500,MATCH('Item IDs'!B143,Data!$F$3:$F$500,0),1)),"NOT ASSIGNED",INDEX(Data!$C$3:$F$500,MATCH('Item IDs'!B143,Data!$F$3:$F$500,0),1))</f>
        <v>e. Trading volume of listed equities</v>
      </c>
    </row>
    <row r="144" spans="2:7">
      <c r="B144" s="209">
        <v>1140</v>
      </c>
      <c r="C144" s="210" t="str">
        <f>IF(ISERROR(VLOOKUP(B144,Data!$F$3:$H$500,3,FALSE)),"N/A",VLOOKUP(B144,Data!$F$3:$H$500,3,FALSE))</f>
        <v>18.f.</v>
      </c>
      <c r="D144" s="225" t="str">
        <f t="shared" si="6"/>
        <v>18</v>
      </c>
      <c r="E144" s="220" t="str">
        <f t="shared" si="7"/>
        <v>f</v>
      </c>
      <c r="F144" s="225" t="str">
        <f t="shared" si="8"/>
        <v xml:space="preserve"> </v>
      </c>
      <c r="G144" s="211" t="str">
        <f>IF(ISERROR(INDEX(Data!$C$3:$F$500,MATCH('Item IDs'!B144,Data!$F$3:$F$500,0),1)),"NOT ASSIGNED",INDEX(Data!$C$3:$F$500,MATCH('Item IDs'!B144,Data!$F$3:$F$500,0),1))</f>
        <v>f. Trading volume of all other securities</v>
      </c>
    </row>
    <row r="145" spans="2:7">
      <c r="B145" s="209">
        <v>1141</v>
      </c>
      <c r="C145" s="210" t="str">
        <f>IF(ISERROR(VLOOKUP(B145,Data!$F$3:$H$500,3,FALSE)),"N/A",VLOOKUP(B145,Data!$F$3:$H$500,3,FALSE))</f>
        <v>18.g.</v>
      </c>
      <c r="D145" s="225" t="str">
        <f t="shared" si="6"/>
        <v>18</v>
      </c>
      <c r="E145" s="220" t="str">
        <f t="shared" si="7"/>
        <v>g</v>
      </c>
      <c r="F145" s="225" t="str">
        <f t="shared" si="8"/>
        <v xml:space="preserve"> </v>
      </c>
      <c r="G145" s="211" t="str">
        <f>IF(ISERROR(INDEX(Data!$C$3:$F$500,MATCH('Item IDs'!B145,Data!$F$3:$F$500,0),1)),"NOT ASSIGNED",INDEX(Data!$C$3:$F$500,MATCH('Item IDs'!B145,Data!$F$3:$F$500,0),1))</f>
        <v>g. Initial margin posted to central counterparties (CCPs) on behalf of clients</v>
      </c>
    </row>
    <row r="146" spans="2:7">
      <c r="B146" s="209">
        <v>1142</v>
      </c>
      <c r="C146" s="210" t="str">
        <f>IF(ISERROR(VLOOKUP(B146,Data!$F$3:$H$500,3,FALSE)),"N/A",VLOOKUP(B146,Data!$F$3:$H$500,3,FALSE))</f>
        <v>18.h.</v>
      </c>
      <c r="D146" s="225" t="str">
        <f t="shared" si="6"/>
        <v>18</v>
      </c>
      <c r="E146" s="220" t="str">
        <f t="shared" si="7"/>
        <v>h</v>
      </c>
      <c r="F146" s="225" t="str">
        <f t="shared" si="8"/>
        <v xml:space="preserve"> </v>
      </c>
      <c r="G146" s="211" t="str">
        <f>IF(ISERROR(INDEX(Data!$C$3:$F$500,MATCH('Item IDs'!B146,Data!$F$3:$F$500,0),1)),"NOT ASSIGNED",INDEX(Data!$C$3:$F$500,MATCH('Item IDs'!B146,Data!$F$3:$F$500,0),1))</f>
        <v>h. Initial margin posted to CCPs for the reporting group’s own account</v>
      </c>
    </row>
    <row r="147" spans="2:7">
      <c r="B147" s="209">
        <v>1143</v>
      </c>
      <c r="C147" s="210" t="str">
        <f>IF(ISERROR(VLOOKUP(B147,Data!$F$3:$H$500,3,FALSE)),"N/A",VLOOKUP(B147,Data!$F$3:$H$500,3,FALSE))</f>
        <v>18.i.</v>
      </c>
      <c r="D147" s="225" t="str">
        <f t="shared" si="6"/>
        <v>18</v>
      </c>
      <c r="E147" s="220" t="str">
        <f t="shared" si="7"/>
        <v>i</v>
      </c>
      <c r="F147" s="225" t="str">
        <f t="shared" si="8"/>
        <v xml:space="preserve"> </v>
      </c>
      <c r="G147" s="211" t="str">
        <f>IF(ISERROR(INDEX(Data!$C$3:$F$500,MATCH('Item IDs'!B147,Data!$F$3:$F$500,0),1)),"NOT ASSIGNED",INDEX(Data!$C$3:$F$500,MATCH('Item IDs'!B147,Data!$F$3:$F$500,0),1))</f>
        <v>i. Default fund contributions to CCPs</v>
      </c>
    </row>
    <row r="148" spans="2:7">
      <c r="B148" s="209">
        <v>1144</v>
      </c>
      <c r="C148" s="210" t="str">
        <f>IF(ISERROR(VLOOKUP(B148,Data!$F$3:$H$500,3,FALSE)),"N/A",VLOOKUP(B148,Data!$F$3:$H$500,3,FALSE))</f>
        <v>18.j.</v>
      </c>
      <c r="D148" s="225" t="str">
        <f t="shared" si="6"/>
        <v>18</v>
      </c>
      <c r="E148" s="220" t="str">
        <f t="shared" si="7"/>
        <v>j</v>
      </c>
      <c r="F148" s="225" t="str">
        <f t="shared" si="8"/>
        <v xml:space="preserve"> </v>
      </c>
      <c r="G148" s="211" t="str">
        <f>IF(ISERROR(INDEX(Data!$C$3:$F$500,MATCH('Item IDs'!B148,Data!$F$3:$F$500,0),1)),"NOT ASSIGNED",INDEX(Data!$C$3:$F$500,MATCH('Item IDs'!B148,Data!$F$3:$F$500,0),1))</f>
        <v>j. Other facilities to CCPs</v>
      </c>
    </row>
    <row r="149" spans="2:7">
      <c r="B149" s="209">
        <v>1145</v>
      </c>
      <c r="C149" s="210" t="str">
        <f>IF(ISERROR(VLOOKUP(B149,Data!$F$3:$H$500,3,FALSE)),"N/A",VLOOKUP(B149,Data!$F$3:$H$500,3,FALSE))</f>
        <v>18.k.</v>
      </c>
      <c r="D149" s="225" t="str">
        <f t="shared" si="6"/>
        <v>18</v>
      </c>
      <c r="E149" s="220" t="str">
        <f t="shared" si="7"/>
        <v>k</v>
      </c>
      <c r="F149" s="225" t="str">
        <f t="shared" si="8"/>
        <v xml:space="preserve"> </v>
      </c>
      <c r="G149" s="211" t="str">
        <f>IF(ISERROR(INDEX(Data!$C$3:$F$500,MATCH('Item IDs'!B149,Data!$F$3:$F$500,0),1)),"NOT ASSIGNED",INDEX(Data!$C$3:$F$500,MATCH('Item IDs'!B149,Data!$F$3:$F$500,0),1))</f>
        <v>k. Provision of settlement services in connection with centrally-cleared transactions</v>
      </c>
    </row>
    <row r="150" spans="2:7">
      <c r="B150" s="209">
        <v>1146</v>
      </c>
      <c r="C150" s="210" t="str">
        <f>IF(ISERROR(VLOOKUP(B150,Data!$F$3:$H$500,3,FALSE)),"N/A",VLOOKUP(B150,Data!$F$3:$H$500,3,FALSE))</f>
        <v>19.a.</v>
      </c>
      <c r="D150" s="225" t="str">
        <f t="shared" si="6"/>
        <v>19</v>
      </c>
      <c r="E150" s="220" t="str">
        <f t="shared" si="7"/>
        <v>a</v>
      </c>
      <c r="F150" s="225" t="str">
        <f t="shared" si="8"/>
        <v xml:space="preserve"> </v>
      </c>
      <c r="G150" s="211" t="str">
        <f>IF(ISERROR(INDEX(Data!$C$3:$F$500,MATCH('Item IDs'!B150,Data!$F$3:$F$500,0),1)),"NOT ASSIGNED",INDEX(Data!$C$3:$F$500,MATCH('Item IDs'!B150,Data!$F$3:$F$500,0),1))</f>
        <v>a. Foreign derivative claims on an ultimate risk basis</v>
      </c>
    </row>
    <row r="151" spans="2:7">
      <c r="B151" s="209">
        <v>1147</v>
      </c>
      <c r="C151" s="210" t="str">
        <f>IF(ISERROR(VLOOKUP(B151,Data!$F$3:$H$500,3,FALSE)),"N/A",VLOOKUP(B151,Data!$F$3:$H$500,3,FALSE))</f>
        <v>19.b.</v>
      </c>
      <c r="D151" s="225" t="str">
        <f t="shared" si="6"/>
        <v>19</v>
      </c>
      <c r="E151" s="220" t="str">
        <f t="shared" si="7"/>
        <v>b</v>
      </c>
      <c r="F151" s="225" t="str">
        <f t="shared" si="8"/>
        <v xml:space="preserve"> </v>
      </c>
      <c r="G151" s="211" t="str">
        <f>IF(ISERROR(INDEX(Data!$C$3:$F$500,MATCH('Item IDs'!B151,Data!$F$3:$F$500,0),1)),"NOT ASSIGNED",INDEX(Data!$C$3:$F$500,MATCH('Item IDs'!B151,Data!$F$3:$F$500,0),1))</f>
        <v>b. Foreign derivative liabilities (aggregation of BIS locational statistics)</v>
      </c>
    </row>
    <row r="152" spans="2:7">
      <c r="B152" s="209">
        <v>1148</v>
      </c>
      <c r="C152" s="210" t="str">
        <f>IF(ISERROR(VLOOKUP(B152,Data!$F$3:$H$500,3,FALSE)),"N/A",VLOOKUP(B152,Data!$F$3:$H$500,3,FALSE))</f>
        <v>19.c.</v>
      </c>
      <c r="D152" s="225" t="str">
        <f t="shared" si="6"/>
        <v>19</v>
      </c>
      <c r="E152" s="220" t="str">
        <f t="shared" si="7"/>
        <v>c</v>
      </c>
      <c r="F152" s="225" t="str">
        <f t="shared" si="8"/>
        <v xml:space="preserve"> </v>
      </c>
      <c r="G152" s="211" t="str">
        <f>IF(ISERROR(INDEX(Data!$C$3:$F$500,MATCH('Item IDs'!B152,Data!$F$3:$F$500,0),1)),"NOT ASSIGNED",INDEX(Data!$C$3:$F$500,MATCH('Item IDs'!B152,Data!$F$3:$F$500,0),1))</f>
        <v>c. Foreign liabilities on an immediate risk basis (including derivatives)</v>
      </c>
    </row>
    <row r="153" spans="2:7">
      <c r="B153" s="209">
        <v>1149</v>
      </c>
      <c r="C153" s="210" t="str">
        <f>IF(ISERROR(VLOOKUP(B153,Data!$F$3:$H$500,3,FALSE)),"N/A",VLOOKUP(B153,Data!$F$3:$H$500,3,FALSE))</f>
        <v>19.d.</v>
      </c>
      <c r="D153" s="225" t="str">
        <f t="shared" si="6"/>
        <v>19</v>
      </c>
      <c r="E153" s="220" t="str">
        <f t="shared" si="7"/>
        <v>d</v>
      </c>
      <c r="F153" s="225" t="str">
        <f t="shared" si="8"/>
        <v xml:space="preserve"> </v>
      </c>
      <c r="G153" s="211" t="str">
        <f>IF(ISERROR(INDEX(Data!$C$3:$F$500,MATCH('Item IDs'!B153,Data!$F$3:$F$500,0),1)),"NOT ASSIGNED",INDEX(Data!$C$3:$F$500,MATCH('Item IDs'!B153,Data!$F$3:$F$500,0),1))</f>
        <v>d. Foreign derivative liabilities on an immediate risk basis</v>
      </c>
    </row>
    <row r="154" spans="2:7">
      <c r="B154" s="209">
        <v>1150</v>
      </c>
      <c r="C154" s="210" t="str">
        <f>IF(ISERROR(VLOOKUP(B154,Data!$F$3:$H$500,3,FALSE)),"N/A",VLOOKUP(B154,Data!$F$3:$H$500,3,FALSE))</f>
        <v>19.e.</v>
      </c>
      <c r="D154" s="225" t="str">
        <f t="shared" si="6"/>
        <v>19</v>
      </c>
      <c r="E154" s="220" t="str">
        <f t="shared" si="7"/>
        <v>e</v>
      </c>
      <c r="F154" s="225" t="str">
        <f t="shared" si="8"/>
        <v xml:space="preserve"> </v>
      </c>
      <c r="G154" s="211" t="str">
        <f>IF(ISERROR(INDEX(Data!$C$3:$F$500,MATCH('Item IDs'!B154,Data!$F$3:$F$500,0),1)),"NOT ASSIGNED",INDEX(Data!$C$3:$F$500,MATCH('Item IDs'!B154,Data!$F$3:$F$500,0),1))</f>
        <v>e. Foreign debt security liabilities on an immediate risk basis</v>
      </c>
    </row>
    <row r="155" spans="2:7">
      <c r="B155" s="209">
        <v>1151</v>
      </c>
      <c r="C155" s="210" t="str">
        <f>IF(ISERROR(VLOOKUP(B155,Data!$F$3:$H$500,3,FALSE)),"N/A",VLOOKUP(B155,Data!$F$3:$H$500,3,FALSE))</f>
        <v>20.a.</v>
      </c>
      <c r="D155" s="225" t="str">
        <f t="shared" si="6"/>
        <v>20</v>
      </c>
      <c r="E155" s="220" t="str">
        <f t="shared" si="7"/>
        <v>a</v>
      </c>
      <c r="F155" s="225" t="str">
        <f t="shared" si="8"/>
        <v xml:space="preserve"> </v>
      </c>
      <c r="G155" s="211" t="str">
        <f>IF(ISERROR(INDEX(Data!$C$3:$F$500,MATCH('Item IDs'!B155,Data!$F$3:$F$500,0),1)),"NOT ASSIGNED",INDEX(Data!$C$3:$F$500,MATCH('Item IDs'!B155,Data!$F$3:$F$500,0),1))</f>
        <v>a. Australian dollars</v>
      </c>
    </row>
    <row r="156" spans="2:7">
      <c r="B156" s="209">
        <v>1152</v>
      </c>
      <c r="C156" s="210" t="str">
        <f>IF(ISERROR(VLOOKUP(B156,Data!$F$3:$H$500,3,FALSE)),"N/A",VLOOKUP(B156,Data!$F$3:$H$500,3,FALSE))</f>
        <v>20.b.</v>
      </c>
      <c r="D156" s="225" t="str">
        <f t="shared" si="6"/>
        <v>20</v>
      </c>
      <c r="E156" s="220" t="str">
        <f t="shared" si="7"/>
        <v>b</v>
      </c>
      <c r="F156" s="225" t="str">
        <f t="shared" si="8"/>
        <v xml:space="preserve"> </v>
      </c>
      <c r="G156" s="211" t="str">
        <f>IF(ISERROR(INDEX(Data!$C$3:$F$500,MATCH('Item IDs'!B156,Data!$F$3:$F$500,0),1)),"NOT ASSIGNED",INDEX(Data!$C$3:$F$500,MATCH('Item IDs'!B156,Data!$F$3:$F$500,0),1))</f>
        <v>b. Brazilian real</v>
      </c>
    </row>
    <row r="157" spans="2:7">
      <c r="B157" s="209">
        <v>1153</v>
      </c>
      <c r="C157" s="210" t="str">
        <f>IF(ISERROR(VLOOKUP(B157,Data!$F$3:$H$500,3,FALSE)),"N/A",VLOOKUP(B157,Data!$F$3:$H$500,3,FALSE))</f>
        <v>20.c.</v>
      </c>
      <c r="D157" s="225" t="str">
        <f t="shared" si="6"/>
        <v>20</v>
      </c>
      <c r="E157" s="220" t="str">
        <f t="shared" si="7"/>
        <v>c</v>
      </c>
      <c r="F157" s="225" t="str">
        <f t="shared" si="8"/>
        <v xml:space="preserve"> </v>
      </c>
      <c r="G157" s="211" t="str">
        <f>IF(ISERROR(INDEX(Data!$C$3:$F$500,MATCH('Item IDs'!B157,Data!$F$3:$F$500,0),1)),"NOT ASSIGNED",INDEX(Data!$C$3:$F$500,MATCH('Item IDs'!B157,Data!$F$3:$F$500,0),1))</f>
        <v>c. Canadian dollars</v>
      </c>
    </row>
    <row r="158" spans="2:7">
      <c r="B158" s="209">
        <v>1154</v>
      </c>
      <c r="C158" s="210" t="str">
        <f>IF(ISERROR(VLOOKUP(B158,Data!$F$3:$H$500,3,FALSE)),"N/A",VLOOKUP(B158,Data!$F$3:$H$500,3,FALSE))</f>
        <v>20.d.</v>
      </c>
      <c r="D158" s="225" t="str">
        <f t="shared" si="6"/>
        <v>20</v>
      </c>
      <c r="E158" s="220" t="str">
        <f t="shared" si="7"/>
        <v>d</v>
      </c>
      <c r="F158" s="225" t="str">
        <f t="shared" si="8"/>
        <v xml:space="preserve"> </v>
      </c>
      <c r="G158" s="211" t="str">
        <f>IF(ISERROR(INDEX(Data!$C$3:$F$500,MATCH('Item IDs'!B158,Data!$F$3:$F$500,0),1)),"NOT ASSIGNED",INDEX(Data!$C$3:$F$500,MATCH('Item IDs'!B158,Data!$F$3:$F$500,0),1))</f>
        <v>d. Swiss francs</v>
      </c>
    </row>
    <row r="159" spans="2:7">
      <c r="B159" s="209">
        <v>1155</v>
      </c>
      <c r="C159" s="210" t="str">
        <f>IF(ISERROR(VLOOKUP(B159,Data!$F$3:$H$500,3,FALSE)),"N/A",VLOOKUP(B159,Data!$F$3:$H$500,3,FALSE))</f>
        <v>20.e.</v>
      </c>
      <c r="D159" s="225" t="str">
        <f t="shared" si="6"/>
        <v>20</v>
      </c>
      <c r="E159" s="220" t="str">
        <f t="shared" si="7"/>
        <v>e</v>
      </c>
      <c r="F159" s="225" t="str">
        <f t="shared" si="8"/>
        <v xml:space="preserve"> </v>
      </c>
      <c r="G159" s="211" t="str">
        <f>IF(ISERROR(INDEX(Data!$C$3:$F$500,MATCH('Item IDs'!B159,Data!$F$3:$F$500,0),1)),"NOT ASSIGNED",INDEX(Data!$C$3:$F$500,MATCH('Item IDs'!B159,Data!$F$3:$F$500,0),1))</f>
        <v>e. Chinese yuan</v>
      </c>
    </row>
    <row r="160" spans="2:7">
      <c r="B160" s="209">
        <v>1156</v>
      </c>
      <c r="C160" s="210" t="str">
        <f>IF(ISERROR(VLOOKUP(B160,Data!$F$3:$H$500,3,FALSE)),"N/A",VLOOKUP(B160,Data!$F$3:$H$500,3,FALSE))</f>
        <v>20.f.</v>
      </c>
      <c r="D160" s="225" t="str">
        <f t="shared" si="6"/>
        <v>20</v>
      </c>
      <c r="E160" s="220" t="str">
        <f t="shared" si="7"/>
        <v>f</v>
      </c>
      <c r="F160" s="225" t="str">
        <f t="shared" si="8"/>
        <v xml:space="preserve"> </v>
      </c>
      <c r="G160" s="211" t="str">
        <f>IF(ISERROR(INDEX(Data!$C$3:$F$500,MATCH('Item IDs'!B160,Data!$F$3:$F$500,0),1)),"NOT ASSIGNED",INDEX(Data!$C$3:$F$500,MATCH('Item IDs'!B160,Data!$F$3:$F$500,0),1))</f>
        <v>f. Euros</v>
      </c>
    </row>
    <row r="161" spans="2:7">
      <c r="B161" s="209">
        <v>1157</v>
      </c>
      <c r="C161" s="210" t="str">
        <f>IF(ISERROR(VLOOKUP(B161,Data!$F$3:$H$500,3,FALSE)),"N/A",VLOOKUP(B161,Data!$F$3:$H$500,3,FALSE))</f>
        <v>20.g.</v>
      </c>
      <c r="D161" s="225" t="str">
        <f t="shared" si="6"/>
        <v>20</v>
      </c>
      <c r="E161" s="220" t="str">
        <f t="shared" si="7"/>
        <v>g</v>
      </c>
      <c r="F161" s="225" t="str">
        <f t="shared" si="8"/>
        <v xml:space="preserve"> </v>
      </c>
      <c r="G161" s="211" t="str">
        <f>IF(ISERROR(INDEX(Data!$C$3:$F$500,MATCH('Item IDs'!B161,Data!$F$3:$F$500,0),1)),"NOT ASSIGNED",INDEX(Data!$C$3:$F$500,MATCH('Item IDs'!B161,Data!$F$3:$F$500,0),1))</f>
        <v>g. British pounds</v>
      </c>
    </row>
    <row r="162" spans="2:7">
      <c r="B162" s="209">
        <v>1158</v>
      </c>
      <c r="C162" s="210" t="str">
        <f>IF(ISERROR(VLOOKUP(B162,Data!$F$3:$H$500,3,FALSE)),"N/A",VLOOKUP(B162,Data!$F$3:$H$500,3,FALSE))</f>
        <v>20.h.</v>
      </c>
      <c r="D162" s="225" t="str">
        <f t="shared" si="6"/>
        <v>20</v>
      </c>
      <c r="E162" s="220" t="str">
        <f t="shared" si="7"/>
        <v>h</v>
      </c>
      <c r="F162" s="225" t="str">
        <f t="shared" si="8"/>
        <v xml:space="preserve"> </v>
      </c>
      <c r="G162" s="211" t="str">
        <f>IF(ISERROR(INDEX(Data!$C$3:$F$500,MATCH('Item IDs'!B162,Data!$F$3:$F$500,0),1)),"NOT ASSIGNED",INDEX(Data!$C$3:$F$500,MATCH('Item IDs'!B162,Data!$F$3:$F$500,0),1))</f>
        <v>h. Hong Kong dollars</v>
      </c>
    </row>
    <row r="163" spans="2:7">
      <c r="B163" s="209">
        <v>1159</v>
      </c>
      <c r="C163" s="210" t="str">
        <f>IF(ISERROR(VLOOKUP(B163,Data!$F$3:$H$500,3,FALSE)),"N/A",VLOOKUP(B163,Data!$F$3:$H$500,3,FALSE))</f>
        <v>20.i.</v>
      </c>
      <c r="D163" s="225" t="str">
        <f t="shared" si="6"/>
        <v>20</v>
      </c>
      <c r="E163" s="220" t="str">
        <f t="shared" si="7"/>
        <v>i</v>
      </c>
      <c r="F163" s="225" t="str">
        <f t="shared" si="8"/>
        <v xml:space="preserve"> </v>
      </c>
      <c r="G163" s="211" t="str">
        <f>IF(ISERROR(INDEX(Data!$C$3:$F$500,MATCH('Item IDs'!B163,Data!$F$3:$F$500,0),1)),"NOT ASSIGNED",INDEX(Data!$C$3:$F$500,MATCH('Item IDs'!B163,Data!$F$3:$F$500,0),1))</f>
        <v>i. Indian rupee</v>
      </c>
    </row>
    <row r="164" spans="2:7">
      <c r="B164" s="209">
        <v>1160</v>
      </c>
      <c r="C164" s="210" t="str">
        <f>IF(ISERROR(VLOOKUP(B164,Data!$F$3:$H$500,3,FALSE)),"N/A",VLOOKUP(B164,Data!$F$3:$H$500,3,FALSE))</f>
        <v>20.j.</v>
      </c>
      <c r="D164" s="225" t="str">
        <f t="shared" si="6"/>
        <v>20</v>
      </c>
      <c r="E164" s="220" t="str">
        <f t="shared" si="7"/>
        <v>j</v>
      </c>
      <c r="F164" s="225" t="str">
        <f t="shared" si="8"/>
        <v xml:space="preserve"> </v>
      </c>
      <c r="G164" s="211" t="str">
        <f>IF(ISERROR(INDEX(Data!$C$3:$F$500,MATCH('Item IDs'!B164,Data!$F$3:$F$500,0),1)),"NOT ASSIGNED",INDEX(Data!$C$3:$F$500,MATCH('Item IDs'!B164,Data!$F$3:$F$500,0),1))</f>
        <v>j. Japanese yen</v>
      </c>
    </row>
    <row r="165" spans="2:7">
      <c r="B165" s="209">
        <v>1161</v>
      </c>
      <c r="C165" s="210" t="str">
        <f>IF(ISERROR(VLOOKUP(B165,Data!$F$3:$H$500,3,FALSE)),"N/A",VLOOKUP(B165,Data!$F$3:$H$500,3,FALSE))</f>
        <v>20.k.</v>
      </c>
      <c r="D165" s="225" t="str">
        <f t="shared" si="6"/>
        <v>20</v>
      </c>
      <c r="E165" s="220" t="str">
        <f t="shared" si="7"/>
        <v>k</v>
      </c>
      <c r="F165" s="225" t="str">
        <f t="shared" si="8"/>
        <v xml:space="preserve"> </v>
      </c>
      <c r="G165" s="211" t="str">
        <f>IF(ISERROR(INDEX(Data!$C$3:$F$500,MATCH('Item IDs'!B165,Data!$F$3:$F$500,0),1)),"NOT ASSIGNED",INDEX(Data!$C$3:$F$500,MATCH('Item IDs'!B165,Data!$F$3:$F$500,0),1))</f>
        <v>k. Mexican pesos</v>
      </c>
    </row>
    <row r="166" spans="2:7">
      <c r="B166" s="209">
        <v>1162</v>
      </c>
      <c r="C166" s="210" t="str">
        <f>IF(ISERROR(VLOOKUP(B166,Data!$F$3:$H$500,3,FALSE)),"N/A",VLOOKUP(B166,Data!$F$3:$H$500,3,FALSE))</f>
        <v>20.l.</v>
      </c>
      <c r="D166" s="225" t="str">
        <f t="shared" si="6"/>
        <v>20</v>
      </c>
      <c r="E166" s="220" t="str">
        <f t="shared" si="7"/>
        <v>l</v>
      </c>
      <c r="F166" s="225" t="str">
        <f t="shared" si="8"/>
        <v xml:space="preserve"> </v>
      </c>
      <c r="G166" s="211" t="str">
        <f>IF(ISERROR(INDEX(Data!$C$3:$F$500,MATCH('Item IDs'!B166,Data!$F$3:$F$500,0),1)),"NOT ASSIGNED",INDEX(Data!$C$3:$F$500,MATCH('Item IDs'!B166,Data!$F$3:$F$500,0),1))</f>
        <v>l. New Zealand dollars</v>
      </c>
    </row>
    <row r="167" spans="2:7">
      <c r="B167" s="209">
        <v>1163</v>
      </c>
      <c r="C167" s="210" t="str">
        <f>IF(ISERROR(VLOOKUP(B167,Data!$F$3:$H$500,3,FALSE)),"N/A",VLOOKUP(B167,Data!$F$3:$H$500,3,FALSE))</f>
        <v>20.m.</v>
      </c>
      <c r="D167" s="225" t="str">
        <f t="shared" si="6"/>
        <v>20</v>
      </c>
      <c r="E167" s="220" t="str">
        <f t="shared" si="7"/>
        <v>m</v>
      </c>
      <c r="F167" s="225" t="str">
        <f t="shared" si="8"/>
        <v xml:space="preserve"> </v>
      </c>
      <c r="G167" s="211" t="str">
        <f>IF(ISERROR(INDEX(Data!$C$3:$F$500,MATCH('Item IDs'!B167,Data!$F$3:$F$500,0),1)),"NOT ASSIGNED",INDEX(Data!$C$3:$F$500,MATCH('Item IDs'!B167,Data!$F$3:$F$500,0),1))</f>
        <v>m. Russian rubles</v>
      </c>
    </row>
    <row r="168" spans="2:7">
      <c r="B168" s="209">
        <v>1164</v>
      </c>
      <c r="C168" s="210" t="str">
        <f>IF(ISERROR(VLOOKUP(B168,Data!$F$3:$H$500,3,FALSE)),"N/A",VLOOKUP(B168,Data!$F$3:$H$500,3,FALSE))</f>
        <v>20.n.</v>
      </c>
      <c r="D168" s="225" t="str">
        <f t="shared" si="6"/>
        <v>20</v>
      </c>
      <c r="E168" s="220" t="str">
        <f t="shared" si="7"/>
        <v>n</v>
      </c>
      <c r="F168" s="225" t="str">
        <f t="shared" si="8"/>
        <v xml:space="preserve"> </v>
      </c>
      <c r="G168" s="211" t="str">
        <f>IF(ISERROR(INDEX(Data!$C$3:$F$500,MATCH('Item IDs'!B168,Data!$F$3:$F$500,0),1)),"NOT ASSIGNED",INDEX(Data!$C$3:$F$500,MATCH('Item IDs'!B168,Data!$F$3:$F$500,0),1))</f>
        <v>n. Swedish krona</v>
      </c>
    </row>
    <row r="169" spans="2:7">
      <c r="B169" s="209">
        <v>1165</v>
      </c>
      <c r="C169" s="210" t="str">
        <f>IF(ISERROR(VLOOKUP(B169,Data!$F$3:$H$500,3,FALSE)),"N/A",VLOOKUP(B169,Data!$F$3:$H$500,3,FALSE))</f>
        <v>20.o.</v>
      </c>
      <c r="D169" s="225" t="str">
        <f t="shared" si="6"/>
        <v>20</v>
      </c>
      <c r="E169" s="220" t="str">
        <f t="shared" si="7"/>
        <v>o</v>
      </c>
      <c r="F169" s="225" t="str">
        <f t="shared" si="8"/>
        <v xml:space="preserve"> </v>
      </c>
      <c r="G169" s="211" t="str">
        <f>IF(ISERROR(INDEX(Data!$C$3:$F$500,MATCH('Item IDs'!B169,Data!$F$3:$F$500,0),1)),"NOT ASSIGNED",INDEX(Data!$C$3:$F$500,MATCH('Item IDs'!B169,Data!$F$3:$F$500,0),1))</f>
        <v>o. United States dollars</v>
      </c>
    </row>
    <row r="170" spans="2:7">
      <c r="B170" s="209">
        <v>1166</v>
      </c>
      <c r="C170" s="210" t="str">
        <f>IF(ISERROR(VLOOKUP(B170,Data!$F$3:$H$500,3,FALSE)),"N/A",VLOOKUP(B170,Data!$F$3:$H$500,3,FALSE))</f>
        <v>21.a.</v>
      </c>
      <c r="D170" s="225" t="str">
        <f t="shared" si="6"/>
        <v>21</v>
      </c>
      <c r="E170" s="220" t="str">
        <f t="shared" si="7"/>
        <v>a</v>
      </c>
      <c r="F170" s="225" t="str">
        <f t="shared" si="8"/>
        <v xml:space="preserve"> </v>
      </c>
      <c r="G170" s="211" t="str">
        <f>IF(ISERROR(INDEX(Data!$C$3:$F$500,MATCH('Item IDs'!B170,Data!$F$3:$F$500,0),1)),"NOT ASSIGNED",INDEX(Data!$C$3:$F$500,MATCH('Item IDs'!B170,Data!$F$3:$F$500,0),1))</f>
        <v>a. Section 2 - Total exposures indicator</v>
      </c>
    </row>
    <row r="171" spans="2:7">
      <c r="B171" s="209">
        <v>1167</v>
      </c>
      <c r="C171" s="210" t="str">
        <f>IF(ISERROR(VLOOKUP(B171,Data!$F$3:$H$500,3,FALSE)),"N/A",VLOOKUP(B171,Data!$F$3:$H$500,3,FALSE))</f>
        <v>21.b.</v>
      </c>
      <c r="D171" s="225" t="str">
        <f t="shared" si="6"/>
        <v>21</v>
      </c>
      <c r="E171" s="220" t="str">
        <f t="shared" si="7"/>
        <v>b</v>
      </c>
      <c r="F171" s="225" t="str">
        <f t="shared" si="8"/>
        <v xml:space="preserve"> </v>
      </c>
      <c r="G171" s="211" t="str">
        <f>IF(ISERROR(INDEX(Data!$C$3:$F$500,MATCH('Item IDs'!B171,Data!$F$3:$F$500,0),1)),"NOT ASSIGNED",INDEX(Data!$C$3:$F$500,MATCH('Item IDs'!B171,Data!$F$3:$F$500,0),1))</f>
        <v>b. Section 3 - Intra-financial system assets indicator</v>
      </c>
    </row>
    <row r="172" spans="2:7">
      <c r="B172" s="209">
        <v>1168</v>
      </c>
      <c r="C172" s="210" t="str">
        <f>IF(ISERROR(VLOOKUP(B172,Data!$F$3:$H$500,3,FALSE)),"N/A",VLOOKUP(B172,Data!$F$3:$H$500,3,FALSE))</f>
        <v>21.c.</v>
      </c>
      <c r="D172" s="225" t="str">
        <f t="shared" si="6"/>
        <v>21</v>
      </c>
      <c r="E172" s="220" t="str">
        <f t="shared" si="7"/>
        <v>c</v>
      </c>
      <c r="F172" s="225" t="str">
        <f t="shared" si="8"/>
        <v xml:space="preserve"> </v>
      </c>
      <c r="G172" s="211" t="str">
        <f>IF(ISERROR(INDEX(Data!$C$3:$F$500,MATCH('Item IDs'!B172,Data!$F$3:$F$500,0),1)),"NOT ASSIGNED",INDEX(Data!$C$3:$F$500,MATCH('Item IDs'!B172,Data!$F$3:$F$500,0),1))</f>
        <v>c. Section 4 - Intra-financial system liabilities indicator</v>
      </c>
    </row>
    <row r="173" spans="2:7">
      <c r="B173" s="209">
        <v>1169</v>
      </c>
      <c r="C173" s="210" t="str">
        <f>IF(ISERROR(VLOOKUP(B173,Data!$F$3:$H$500,3,FALSE)),"N/A",VLOOKUP(B173,Data!$F$3:$H$500,3,FALSE))</f>
        <v>21.d.</v>
      </c>
      <c r="D173" s="222" t="str">
        <f t="shared" si="6"/>
        <v>21</v>
      </c>
      <c r="E173" s="220" t="str">
        <f t="shared" si="7"/>
        <v>d</v>
      </c>
      <c r="F173" s="220" t="str">
        <f t="shared" si="8"/>
        <v xml:space="preserve"> </v>
      </c>
      <c r="G173" s="211" t="str">
        <f>IF(ISERROR(INDEX(Data!$C$3:$F$500,MATCH('Item IDs'!B173,Data!$F$3:$F$500,0),1)),"NOT ASSIGNED",INDEX(Data!$C$3:$F$500,MATCH('Item IDs'!B173,Data!$F$3:$F$500,0),1))</f>
        <v>d. Section 5 - Securities outstanding indicator</v>
      </c>
    </row>
    <row r="174" spans="2:7">
      <c r="B174" s="209">
        <v>1170</v>
      </c>
      <c r="C174" s="210" t="str">
        <f>IF(ISERROR(VLOOKUP(B174,Data!$F$3:$H$500,3,FALSE)),"N/A",VLOOKUP(B174,Data!$F$3:$H$500,3,FALSE))</f>
        <v>21.e.</v>
      </c>
      <c r="D174" s="222" t="str">
        <f t="shared" si="6"/>
        <v>21</v>
      </c>
      <c r="E174" s="220" t="str">
        <f t="shared" si="7"/>
        <v>e</v>
      </c>
      <c r="F174" s="220" t="str">
        <f t="shared" si="8"/>
        <v xml:space="preserve"> </v>
      </c>
      <c r="G174" s="211" t="str">
        <f>IF(ISERROR(INDEX(Data!$C$3:$F$500,MATCH('Item IDs'!B174,Data!$F$3:$F$500,0),1)),"NOT ASSIGNED",INDEX(Data!$C$3:$F$500,MATCH('Item IDs'!B174,Data!$F$3:$F$500,0),1))</f>
        <v>e. Section 6 - Payments activity indicator</v>
      </c>
    </row>
    <row r="175" spans="2:7">
      <c r="B175" s="209">
        <v>1171</v>
      </c>
      <c r="C175" s="210" t="str">
        <f>IF(ISERROR(VLOOKUP(B175,Data!$F$3:$H$500,3,FALSE)),"N/A",VLOOKUP(B175,Data!$F$3:$H$500,3,FALSE))</f>
        <v>21.f.</v>
      </c>
      <c r="D175" s="222" t="str">
        <f t="shared" si="6"/>
        <v>21</v>
      </c>
      <c r="E175" s="220" t="str">
        <f t="shared" si="7"/>
        <v>f</v>
      </c>
      <c r="F175" s="220" t="str">
        <f t="shared" si="8"/>
        <v xml:space="preserve"> </v>
      </c>
      <c r="G175" s="211" t="str">
        <f>IF(ISERROR(INDEX(Data!$C$3:$F$500,MATCH('Item IDs'!B175,Data!$F$3:$F$500,0),1)),"NOT ASSIGNED",INDEX(Data!$C$3:$F$500,MATCH('Item IDs'!B175,Data!$F$3:$F$500,0),1))</f>
        <v>f. Section 7 - Assets under custody indicator</v>
      </c>
    </row>
    <row r="176" spans="2:7">
      <c r="B176" s="209">
        <v>1172</v>
      </c>
      <c r="C176" s="210" t="str">
        <f>IF(ISERROR(VLOOKUP(B176,Data!$F$3:$H$500,3,FALSE)),"N/A",VLOOKUP(B176,Data!$F$3:$H$500,3,FALSE))</f>
        <v>21.g.</v>
      </c>
      <c r="D176" s="222" t="str">
        <f t="shared" si="6"/>
        <v>21</v>
      </c>
      <c r="E176" s="220" t="str">
        <f t="shared" si="7"/>
        <v>g</v>
      </c>
      <c r="F176" s="220" t="str">
        <f t="shared" si="8"/>
        <v xml:space="preserve"> </v>
      </c>
      <c r="G176" s="211" t="str">
        <f>IF(ISERROR(INDEX(Data!$C$3:$F$500,MATCH('Item IDs'!B176,Data!$F$3:$F$500,0),1)),"NOT ASSIGNED",INDEX(Data!$C$3:$F$500,MATCH('Item IDs'!B176,Data!$F$3:$F$500,0),1))</f>
        <v>g. Section 8 - Underwriting activity indicator</v>
      </c>
    </row>
    <row r="177" spans="2:7">
      <c r="B177" s="209">
        <v>1173</v>
      </c>
      <c r="C177" s="210" t="str">
        <f>IF(ISERROR(VLOOKUP(B177,Data!$F$3:$H$500,3,FALSE)),"N/A",VLOOKUP(B177,Data!$F$3:$H$500,3,FALSE))</f>
        <v>21.h.</v>
      </c>
      <c r="D177" s="222" t="str">
        <f t="shared" si="6"/>
        <v>21</v>
      </c>
      <c r="E177" s="220" t="str">
        <f t="shared" si="7"/>
        <v>h</v>
      </c>
      <c r="F177" s="220" t="str">
        <f t="shared" si="8"/>
        <v xml:space="preserve"> </v>
      </c>
      <c r="G177" s="211" t="str">
        <f>IF(ISERROR(INDEX(Data!$C$3:$F$500,MATCH('Item IDs'!B177,Data!$F$3:$F$500,0),1)),"NOT ASSIGNED",INDEX(Data!$C$3:$F$500,MATCH('Item IDs'!B177,Data!$F$3:$F$500,0),1))</f>
        <v>h. Section 9 - OTC derivatives indicator</v>
      </c>
    </row>
    <row r="178" spans="2:7">
      <c r="B178" s="209">
        <v>1174</v>
      </c>
      <c r="C178" s="210" t="str">
        <f>IF(ISERROR(VLOOKUP(B178,Data!$F$3:$H$500,3,FALSE)),"N/A",VLOOKUP(B178,Data!$F$3:$H$500,3,FALSE))</f>
        <v>21.i.</v>
      </c>
      <c r="D178" s="222" t="str">
        <f t="shared" si="6"/>
        <v>21</v>
      </c>
      <c r="E178" s="220" t="str">
        <f t="shared" si="7"/>
        <v>i</v>
      </c>
      <c r="F178" s="220" t="str">
        <f t="shared" si="8"/>
        <v xml:space="preserve"> </v>
      </c>
      <c r="G178" s="211" t="str">
        <f>IF(ISERROR(INDEX(Data!$C$3:$F$500,MATCH('Item IDs'!B178,Data!$F$3:$F$500,0),1)),"NOT ASSIGNED",INDEX(Data!$C$3:$F$500,MATCH('Item IDs'!B178,Data!$F$3:$F$500,0),1))</f>
        <v>i. Section 10 - Trading and AFS securities indicator</v>
      </c>
    </row>
    <row r="179" spans="2:7">
      <c r="B179" s="209">
        <v>1175</v>
      </c>
      <c r="C179" s="210" t="str">
        <f>IF(ISERROR(VLOOKUP(B179,Data!$F$3:$H$500,3,FALSE)),"N/A",VLOOKUP(B179,Data!$F$3:$H$500,3,FALSE))</f>
        <v>21.j.</v>
      </c>
      <c r="D179" s="222" t="str">
        <f t="shared" si="6"/>
        <v>21</v>
      </c>
      <c r="E179" s="220" t="str">
        <f t="shared" si="7"/>
        <v>j</v>
      </c>
      <c r="F179" s="220" t="str">
        <f t="shared" si="8"/>
        <v xml:space="preserve"> </v>
      </c>
      <c r="G179" s="211" t="str">
        <f>IF(ISERROR(INDEX(Data!$C$3:$F$500,MATCH('Item IDs'!B179,Data!$F$3:$F$500,0),1)),"NOT ASSIGNED",INDEX(Data!$C$3:$F$500,MATCH('Item IDs'!B179,Data!$F$3:$F$500,0),1))</f>
        <v>j. Section 11 - Level 3 assets indicator</v>
      </c>
    </row>
    <row r="180" spans="2:7">
      <c r="B180" s="209">
        <v>1176</v>
      </c>
      <c r="C180" s="210" t="str">
        <f>IF(ISERROR(VLOOKUP(B180,Data!$F$3:$H$500,3,FALSE)),"N/A",VLOOKUP(B180,Data!$F$3:$H$500,3,FALSE))</f>
        <v>21.k.</v>
      </c>
      <c r="D180" s="222" t="str">
        <f t="shared" si="6"/>
        <v>21</v>
      </c>
      <c r="E180" s="220" t="str">
        <f t="shared" si="7"/>
        <v>k</v>
      </c>
      <c r="F180" s="220" t="str">
        <f t="shared" si="8"/>
        <v xml:space="preserve"> </v>
      </c>
      <c r="G180" s="211" t="str">
        <f>IF(ISERROR(INDEX(Data!$C$3:$F$500,MATCH('Item IDs'!B180,Data!$F$3:$F$500,0),1)),"NOT ASSIGNED",INDEX(Data!$C$3:$F$500,MATCH('Item IDs'!B180,Data!$F$3:$F$500,0),1))</f>
        <v>k. Section 12 - Cross-jurisdictional claims indicator</v>
      </c>
    </row>
    <row r="181" spans="2:7">
      <c r="B181" s="209">
        <v>1177</v>
      </c>
      <c r="C181" s="210" t="str">
        <f>IF(ISERROR(VLOOKUP(B181,Data!$F$3:$H$500,3,FALSE)),"N/A",VLOOKUP(B181,Data!$F$3:$H$500,3,FALSE))</f>
        <v>21.l.</v>
      </c>
      <c r="D181" s="222" t="str">
        <f t="shared" si="6"/>
        <v>21</v>
      </c>
      <c r="E181" s="220" t="str">
        <f t="shared" si="7"/>
        <v>l</v>
      </c>
      <c r="F181" s="220" t="str">
        <f t="shared" si="8"/>
        <v xml:space="preserve"> </v>
      </c>
      <c r="G181" s="211" t="str">
        <f>IF(ISERROR(INDEX(Data!$C$3:$F$500,MATCH('Item IDs'!B181,Data!$F$3:$F$500,0),1)),"NOT ASSIGNED",INDEX(Data!$C$3:$F$500,MATCH('Item IDs'!B181,Data!$F$3:$F$500,0),1))</f>
        <v>l. Section 13 - Cross-jurisdictional liabilities indicator</v>
      </c>
    </row>
    <row r="182" spans="2:7">
      <c r="B182" s="209">
        <v>1178</v>
      </c>
      <c r="C182" s="210" t="str">
        <f>IF(ISERROR(VLOOKUP(B182,Data!$F$3:$H$500,3,FALSE)),"N/A",VLOOKUP(B182,Data!$F$3:$H$500,3,FALSE))</f>
        <v>N/A</v>
      </c>
      <c r="D182" s="222" t="str">
        <f t="shared" si="6"/>
        <v xml:space="preserve"> </v>
      </c>
      <c r="E182" s="220" t="str">
        <f t="shared" si="7"/>
        <v xml:space="preserve"> </v>
      </c>
      <c r="F182" s="220" t="str">
        <f t="shared" si="8"/>
        <v xml:space="preserve"> </v>
      </c>
      <c r="G182" s="211" t="str">
        <f>IF(ISERROR(INDEX(Data!$C$3:$F$500,MATCH('Item IDs'!B182,Data!$F$3:$F$500,0),1)),"NOT ASSIGNED",INDEX(Data!$C$3:$F$500,MATCH('Item IDs'!B182,Data!$F$3:$F$500,0),1))</f>
        <v>NOT ASSIGNED</v>
      </c>
    </row>
    <row r="183" spans="2:7">
      <c r="B183" s="209">
        <v>1179</v>
      </c>
      <c r="C183" s="210" t="str">
        <f>IF(ISERROR(VLOOKUP(B183,Data!$F$3:$H$500,3,FALSE)),"N/A",VLOOKUP(B183,Data!$F$3:$H$500,3,FALSE))</f>
        <v>N/A</v>
      </c>
      <c r="D183" s="222" t="str">
        <f t="shared" si="6"/>
        <v xml:space="preserve"> </v>
      </c>
      <c r="E183" s="220" t="str">
        <f t="shared" si="7"/>
        <v xml:space="preserve"> </v>
      </c>
      <c r="F183" s="220" t="str">
        <f t="shared" si="8"/>
        <v xml:space="preserve"> </v>
      </c>
      <c r="G183" s="211" t="str">
        <f>IF(ISERROR(INDEX(Data!$C$3:$F$500,MATCH('Item IDs'!B183,Data!$F$3:$F$500,0),1)),"NOT ASSIGNED",INDEX(Data!$C$3:$F$500,MATCH('Item IDs'!B183,Data!$F$3:$F$500,0),1))</f>
        <v>NOT ASSIGNED</v>
      </c>
    </row>
    <row r="184" spans="2:7">
      <c r="B184" s="209">
        <v>1180</v>
      </c>
      <c r="C184" s="210" t="str">
        <f>IF(ISERROR(VLOOKUP(B184,Data!$F$3:$H$500,3,FALSE)),"N/A",VLOOKUP(B184,Data!$F$3:$H$500,3,FALSE))</f>
        <v>N/A</v>
      </c>
      <c r="D184" s="222" t="str">
        <f t="shared" si="6"/>
        <v xml:space="preserve"> </v>
      </c>
      <c r="E184" s="220" t="str">
        <f t="shared" si="7"/>
        <v xml:space="preserve"> </v>
      </c>
      <c r="F184" s="220" t="str">
        <f t="shared" si="8"/>
        <v xml:space="preserve"> </v>
      </c>
      <c r="G184" s="211" t="str">
        <f>IF(ISERROR(INDEX(Data!$C$3:$F$500,MATCH('Item IDs'!B184,Data!$F$3:$F$500,0),1)),"NOT ASSIGNED",INDEX(Data!$C$3:$F$500,MATCH('Item IDs'!B184,Data!$F$3:$F$500,0),1))</f>
        <v>NOT ASSIGNED</v>
      </c>
    </row>
    <row r="185" spans="2:7">
      <c r="B185" s="209">
        <v>1181</v>
      </c>
      <c r="C185" s="210" t="str">
        <f>IF(ISERROR(VLOOKUP(B185,Data!$F$3:$H$500,3,FALSE)),"N/A",VLOOKUP(B185,Data!$F$3:$H$500,3,FALSE))</f>
        <v>N/A</v>
      </c>
      <c r="D185" s="222" t="str">
        <f t="shared" si="6"/>
        <v xml:space="preserve"> </v>
      </c>
      <c r="E185" s="220" t="str">
        <f t="shared" si="7"/>
        <v xml:space="preserve"> </v>
      </c>
      <c r="F185" s="220" t="str">
        <f t="shared" si="8"/>
        <v xml:space="preserve"> </v>
      </c>
      <c r="G185" s="211" t="str">
        <f>IF(ISERROR(INDEX(Data!$C$3:$F$500,MATCH('Item IDs'!B185,Data!$F$3:$F$500,0),1)),"NOT ASSIGNED",INDEX(Data!$C$3:$F$500,MATCH('Item IDs'!B185,Data!$F$3:$F$500,0),1))</f>
        <v>NOT ASSIGNED</v>
      </c>
    </row>
    <row r="186" spans="2:7">
      <c r="B186" s="209">
        <v>1182</v>
      </c>
      <c r="C186" s="210" t="str">
        <f>IF(ISERROR(VLOOKUP(B186,Data!$F$3:$H$500,3,FALSE)),"N/A",VLOOKUP(B186,Data!$F$3:$H$500,3,FALSE))</f>
        <v>N/A</v>
      </c>
      <c r="D186" s="222" t="str">
        <f t="shared" si="6"/>
        <v xml:space="preserve"> </v>
      </c>
      <c r="E186" s="220" t="str">
        <f t="shared" si="7"/>
        <v xml:space="preserve"> </v>
      </c>
      <c r="F186" s="220" t="str">
        <f t="shared" si="8"/>
        <v xml:space="preserve"> </v>
      </c>
      <c r="G186" s="211" t="str">
        <f>IF(ISERROR(INDEX(Data!$C$3:$F$500,MATCH('Item IDs'!B186,Data!$F$3:$F$500,0),1)),"NOT ASSIGNED",INDEX(Data!$C$3:$F$500,MATCH('Item IDs'!B186,Data!$F$3:$F$500,0),1))</f>
        <v>NOT ASSIGNED</v>
      </c>
    </row>
    <row r="187" spans="2:7">
      <c r="B187" s="209">
        <v>1183</v>
      </c>
      <c r="C187" s="210" t="str">
        <f>IF(ISERROR(VLOOKUP(B187,Data!$F$3:$H$500,3,FALSE)),"N/A",VLOOKUP(B187,Data!$F$3:$H$500,3,FALSE))</f>
        <v>N/A</v>
      </c>
      <c r="D187" s="222" t="str">
        <f t="shared" si="6"/>
        <v xml:space="preserve"> </v>
      </c>
      <c r="E187" s="220" t="str">
        <f t="shared" si="7"/>
        <v xml:space="preserve"> </v>
      </c>
      <c r="F187" s="220" t="str">
        <f t="shared" si="8"/>
        <v xml:space="preserve"> </v>
      </c>
      <c r="G187" s="211" t="str">
        <f>IF(ISERROR(INDEX(Data!$C$3:$F$500,MATCH('Item IDs'!B187,Data!$F$3:$F$500,0),1)),"NOT ASSIGNED",INDEX(Data!$C$3:$F$500,MATCH('Item IDs'!B187,Data!$F$3:$F$500,0),1))</f>
        <v>NOT ASSIGNED</v>
      </c>
    </row>
    <row r="188" spans="2:7">
      <c r="B188" s="209">
        <v>1184</v>
      </c>
      <c r="C188" s="210" t="str">
        <f>IF(ISERROR(VLOOKUP(B188,Data!$F$3:$H$500,3,FALSE)),"N/A",VLOOKUP(B188,Data!$F$3:$H$500,3,FALSE))</f>
        <v>N/A</v>
      </c>
      <c r="D188" s="222" t="str">
        <f t="shared" si="6"/>
        <v xml:space="preserve"> </v>
      </c>
      <c r="E188" s="220" t="str">
        <f t="shared" si="7"/>
        <v xml:space="preserve"> </v>
      </c>
      <c r="F188" s="220" t="str">
        <f t="shared" si="8"/>
        <v xml:space="preserve"> </v>
      </c>
      <c r="G188" s="211" t="str">
        <f>IF(ISERROR(INDEX(Data!$C$3:$F$500,MATCH('Item IDs'!B188,Data!$F$3:$F$500,0),1)),"NOT ASSIGNED",INDEX(Data!$C$3:$F$500,MATCH('Item IDs'!B188,Data!$F$3:$F$500,0),1))</f>
        <v>NOT ASSIGNED</v>
      </c>
    </row>
    <row r="189" spans="2:7">
      <c r="B189" s="209">
        <v>1185</v>
      </c>
      <c r="C189" s="210" t="str">
        <f>IF(ISERROR(VLOOKUP(B189,Data!$F$3:$H$500,3,FALSE)),"N/A",VLOOKUP(B189,Data!$F$3:$H$500,3,FALSE))</f>
        <v>N/A</v>
      </c>
      <c r="D189" s="222" t="str">
        <f t="shared" si="6"/>
        <v xml:space="preserve"> </v>
      </c>
      <c r="E189" s="220" t="str">
        <f t="shared" si="7"/>
        <v xml:space="preserve"> </v>
      </c>
      <c r="F189" s="220" t="str">
        <f t="shared" si="8"/>
        <v xml:space="preserve"> </v>
      </c>
      <c r="G189" s="211" t="str">
        <f>IF(ISERROR(INDEX(Data!$C$3:$F$500,MATCH('Item IDs'!B189,Data!$F$3:$F$500,0),1)),"NOT ASSIGNED",INDEX(Data!$C$3:$F$500,MATCH('Item IDs'!B189,Data!$F$3:$F$500,0),1))</f>
        <v>NOT ASSIGNED</v>
      </c>
    </row>
    <row r="190" spans="2:7">
      <c r="B190" s="209">
        <v>1186</v>
      </c>
      <c r="C190" s="210" t="str">
        <f>IF(ISERROR(VLOOKUP(B190,Data!$F$3:$H$500,3,FALSE)),"N/A",VLOOKUP(B190,Data!$F$3:$H$500,3,FALSE))</f>
        <v>N/A</v>
      </c>
      <c r="D190" s="222" t="str">
        <f t="shared" si="6"/>
        <v xml:space="preserve"> </v>
      </c>
      <c r="E190" s="220" t="str">
        <f t="shared" si="7"/>
        <v xml:space="preserve"> </v>
      </c>
      <c r="F190" s="220" t="str">
        <f t="shared" si="8"/>
        <v xml:space="preserve"> </v>
      </c>
      <c r="G190" s="211" t="str">
        <f>IF(ISERROR(INDEX(Data!$C$3:$F$500,MATCH('Item IDs'!B190,Data!$F$3:$F$500,0),1)),"NOT ASSIGNED",INDEX(Data!$C$3:$F$500,MATCH('Item IDs'!B190,Data!$F$3:$F$500,0),1))</f>
        <v>NOT ASSIGNED</v>
      </c>
    </row>
    <row r="191" spans="2:7">
      <c r="B191" s="209">
        <v>1187</v>
      </c>
      <c r="C191" s="210" t="str">
        <f>IF(ISERROR(VLOOKUP(B191,Data!$F$3:$H$500,3,FALSE)),"N/A",VLOOKUP(B191,Data!$F$3:$H$500,3,FALSE))</f>
        <v>N/A</v>
      </c>
      <c r="D191" s="222" t="str">
        <f t="shared" si="6"/>
        <v xml:space="preserve"> </v>
      </c>
      <c r="E191" s="220" t="str">
        <f t="shared" si="7"/>
        <v xml:space="preserve"> </v>
      </c>
      <c r="F191" s="220" t="str">
        <f t="shared" si="8"/>
        <v xml:space="preserve"> </v>
      </c>
      <c r="G191" s="211" t="str">
        <f>IF(ISERROR(INDEX(Data!$C$3:$F$500,MATCH('Item IDs'!B191,Data!$F$3:$F$500,0),1)),"NOT ASSIGNED",INDEX(Data!$C$3:$F$500,MATCH('Item IDs'!B191,Data!$F$3:$F$500,0),1))</f>
        <v>NOT ASSIGNED</v>
      </c>
    </row>
    <row r="192" spans="2:7">
      <c r="B192" s="209">
        <v>1188</v>
      </c>
      <c r="C192" s="210" t="str">
        <f>IF(ISERROR(VLOOKUP(B192,Data!$F$3:$H$500,3,FALSE)),"N/A",VLOOKUP(B192,Data!$F$3:$H$500,3,FALSE))</f>
        <v>N/A</v>
      </c>
      <c r="D192" s="222" t="str">
        <f t="shared" si="6"/>
        <v xml:space="preserve"> </v>
      </c>
      <c r="E192" s="220" t="str">
        <f t="shared" si="7"/>
        <v xml:space="preserve"> </v>
      </c>
      <c r="F192" s="220" t="str">
        <f t="shared" si="8"/>
        <v xml:space="preserve"> </v>
      </c>
      <c r="G192" s="211" t="str">
        <f>IF(ISERROR(INDEX(Data!$C$3:$F$500,MATCH('Item IDs'!B192,Data!$F$3:$F$500,0),1)),"NOT ASSIGNED",INDEX(Data!$C$3:$F$500,MATCH('Item IDs'!B192,Data!$F$3:$F$500,0),1))</f>
        <v>NOT ASSIGNED</v>
      </c>
    </row>
    <row r="193" spans="2:7">
      <c r="B193" s="209">
        <v>1189</v>
      </c>
      <c r="C193" s="210" t="str">
        <f>IF(ISERROR(VLOOKUP(B193,Data!$F$3:$H$500,3,FALSE)),"N/A",VLOOKUP(B193,Data!$F$3:$H$500,3,FALSE))</f>
        <v>N/A</v>
      </c>
      <c r="D193" s="222" t="str">
        <f t="shared" si="6"/>
        <v xml:space="preserve"> </v>
      </c>
      <c r="E193" s="220" t="str">
        <f t="shared" si="7"/>
        <v xml:space="preserve"> </v>
      </c>
      <c r="F193" s="220" t="str">
        <f t="shared" si="8"/>
        <v xml:space="preserve"> </v>
      </c>
      <c r="G193" s="211" t="str">
        <f>IF(ISERROR(INDEX(Data!$C$3:$F$500,MATCH('Item IDs'!B193,Data!$F$3:$F$500,0),1)),"NOT ASSIGNED",INDEX(Data!$C$3:$F$500,MATCH('Item IDs'!B193,Data!$F$3:$F$500,0),1))</f>
        <v>NOT ASSIGNED</v>
      </c>
    </row>
    <row r="194" spans="2:7">
      <c r="B194" s="209">
        <v>1190</v>
      </c>
      <c r="C194" s="210" t="str">
        <f>IF(ISERROR(VLOOKUP(B194,Data!$F$3:$H$500,3,FALSE)),"N/A",VLOOKUP(B194,Data!$F$3:$H$500,3,FALSE))</f>
        <v>N/A</v>
      </c>
      <c r="D194" s="222" t="str">
        <f t="shared" si="6"/>
        <v xml:space="preserve"> </v>
      </c>
      <c r="E194" s="220" t="str">
        <f t="shared" si="7"/>
        <v xml:space="preserve"> </v>
      </c>
      <c r="F194" s="220" t="str">
        <f t="shared" si="8"/>
        <v xml:space="preserve"> </v>
      </c>
      <c r="G194" s="211" t="str">
        <f>IF(ISERROR(INDEX(Data!$C$3:$F$500,MATCH('Item IDs'!B194,Data!$F$3:$F$500,0),1)),"NOT ASSIGNED",INDEX(Data!$C$3:$F$500,MATCH('Item IDs'!B194,Data!$F$3:$F$500,0),1))</f>
        <v>NOT ASSIGNED</v>
      </c>
    </row>
    <row r="195" spans="2:7">
      <c r="B195" s="209">
        <v>1191</v>
      </c>
      <c r="C195" s="210" t="str">
        <f>IF(ISERROR(VLOOKUP(B195,Data!$F$3:$H$500,3,FALSE)),"N/A",VLOOKUP(B195,Data!$F$3:$H$500,3,FALSE))</f>
        <v>N/A</v>
      </c>
      <c r="D195" s="222" t="str">
        <f t="shared" si="6"/>
        <v xml:space="preserve"> </v>
      </c>
      <c r="E195" s="220" t="str">
        <f t="shared" si="7"/>
        <v xml:space="preserve"> </v>
      </c>
      <c r="F195" s="220" t="str">
        <f t="shared" si="8"/>
        <v xml:space="preserve"> </v>
      </c>
      <c r="G195" s="211" t="str">
        <f>IF(ISERROR(INDEX(Data!$C$3:$F$500,MATCH('Item IDs'!B195,Data!$F$3:$F$500,0),1)),"NOT ASSIGNED",INDEX(Data!$C$3:$F$500,MATCH('Item IDs'!B195,Data!$F$3:$F$500,0),1))</f>
        <v>NOT ASSIGNED</v>
      </c>
    </row>
    <row r="196" spans="2:7">
      <c r="B196" s="209">
        <v>1192</v>
      </c>
      <c r="C196" s="210" t="str">
        <f>IF(ISERROR(VLOOKUP(B196,Data!$F$3:$H$500,3,FALSE)),"N/A",VLOOKUP(B196,Data!$F$3:$H$500,3,FALSE))</f>
        <v>N/A</v>
      </c>
      <c r="D196" s="222" t="str">
        <f t="shared" si="6"/>
        <v xml:space="preserve"> </v>
      </c>
      <c r="E196" s="220" t="str">
        <f t="shared" si="7"/>
        <v xml:space="preserve"> </v>
      </c>
      <c r="F196" s="220" t="str">
        <f t="shared" si="8"/>
        <v xml:space="preserve"> </v>
      </c>
      <c r="G196" s="211" t="str">
        <f>IF(ISERROR(INDEX(Data!$C$3:$F$500,MATCH('Item IDs'!B196,Data!$F$3:$F$500,0),1)),"NOT ASSIGNED",INDEX(Data!$C$3:$F$500,MATCH('Item IDs'!B196,Data!$F$3:$F$500,0),1))</f>
        <v>NOT ASSIGNED</v>
      </c>
    </row>
    <row r="197" spans="2:7">
      <c r="B197" s="209">
        <v>1193</v>
      </c>
      <c r="C197" s="210" t="str">
        <f>IF(ISERROR(VLOOKUP(B197,Data!$F$3:$H$500,3,FALSE)),"N/A",VLOOKUP(B197,Data!$F$3:$H$500,3,FALSE))</f>
        <v>N/A</v>
      </c>
      <c r="D197" s="222" t="str">
        <f t="shared" ref="D197:D204" si="9">IF(ISERROR(FIND(".",C197))," ",LEFT(C197,FIND(".",C197)-1))</f>
        <v xml:space="preserve"> </v>
      </c>
      <c r="E197" s="220" t="str">
        <f t="shared" ref="E197:E204" si="10">IF(ISERROR(FIND(".",C197))," ",LEFT(RIGHT(C197,LEN(C197)-FIND(".",C197)),FIND(".",RIGHT(C197,LEN(C197)-FIND(".",C197)))-1))</f>
        <v xml:space="preserve"> </v>
      </c>
      <c r="F197" s="220" t="str">
        <f t="shared" ref="F197:F204" si="11">IF(ISERROR(FIND("(",C197))," ",MID(C197,FIND("(",C197)+1,FIND(")",C197)-FIND("(",C197)-1))</f>
        <v xml:space="preserve"> </v>
      </c>
      <c r="G197" s="211" t="str">
        <f>IF(ISERROR(INDEX(Data!$C$3:$F$500,MATCH('Item IDs'!B197,Data!$F$3:$F$500,0),1)),"NOT ASSIGNED",INDEX(Data!$C$3:$F$500,MATCH('Item IDs'!B197,Data!$F$3:$F$500,0),1))</f>
        <v>NOT ASSIGNED</v>
      </c>
    </row>
    <row r="198" spans="2:7">
      <c r="B198" s="209">
        <v>1194</v>
      </c>
      <c r="C198" s="210" t="str">
        <f>IF(ISERROR(VLOOKUP(B198,Data!$F$3:$H$500,3,FALSE)),"N/A",VLOOKUP(B198,Data!$F$3:$H$500,3,FALSE))</f>
        <v>N/A</v>
      </c>
      <c r="D198" s="222" t="str">
        <f t="shared" si="9"/>
        <v xml:space="preserve"> </v>
      </c>
      <c r="E198" s="220" t="str">
        <f t="shared" si="10"/>
        <v xml:space="preserve"> </v>
      </c>
      <c r="F198" s="220" t="str">
        <f t="shared" si="11"/>
        <v xml:space="preserve"> </v>
      </c>
      <c r="G198" s="211" t="str">
        <f>IF(ISERROR(INDEX(Data!$C$3:$F$500,MATCH('Item IDs'!B198,Data!$F$3:$F$500,0),1)),"NOT ASSIGNED",INDEX(Data!$C$3:$F$500,MATCH('Item IDs'!B198,Data!$F$3:$F$500,0),1))</f>
        <v>NOT ASSIGNED</v>
      </c>
    </row>
    <row r="199" spans="2:7">
      <c r="B199" s="209">
        <v>1195</v>
      </c>
      <c r="C199" s="210" t="str">
        <f>IF(ISERROR(VLOOKUP(B199,Data!$F$3:$H$500,3,FALSE)),"N/A",VLOOKUP(B199,Data!$F$3:$H$500,3,FALSE))</f>
        <v>N/A</v>
      </c>
      <c r="D199" s="222" t="str">
        <f t="shared" si="9"/>
        <v xml:space="preserve"> </v>
      </c>
      <c r="E199" s="220" t="str">
        <f t="shared" si="10"/>
        <v xml:space="preserve"> </v>
      </c>
      <c r="F199" s="220" t="str">
        <f t="shared" si="11"/>
        <v xml:space="preserve"> </v>
      </c>
      <c r="G199" s="211" t="str">
        <f>IF(ISERROR(INDEX(Data!$C$3:$F$500,MATCH('Item IDs'!B199,Data!$F$3:$F$500,0),1)),"NOT ASSIGNED",INDEX(Data!$C$3:$F$500,MATCH('Item IDs'!B199,Data!$F$3:$F$500,0),1))</f>
        <v>NOT ASSIGNED</v>
      </c>
    </row>
    <row r="200" spans="2:7">
      <c r="B200" s="209">
        <v>1196</v>
      </c>
      <c r="C200" s="210" t="str">
        <f>IF(ISERROR(VLOOKUP(B200,Data!$F$3:$H$500,3,FALSE)),"N/A",VLOOKUP(B200,Data!$F$3:$H$500,3,FALSE))</f>
        <v>N/A</v>
      </c>
      <c r="D200" s="222" t="str">
        <f t="shared" si="9"/>
        <v xml:space="preserve"> </v>
      </c>
      <c r="E200" s="220" t="str">
        <f t="shared" si="10"/>
        <v xml:space="preserve"> </v>
      </c>
      <c r="F200" s="220" t="str">
        <f t="shared" si="11"/>
        <v xml:space="preserve"> </v>
      </c>
      <c r="G200" s="211" t="str">
        <f>IF(ISERROR(INDEX(Data!$C$3:$F$500,MATCH('Item IDs'!B200,Data!$F$3:$F$500,0),1)),"NOT ASSIGNED",INDEX(Data!$C$3:$F$500,MATCH('Item IDs'!B200,Data!$F$3:$F$500,0),1))</f>
        <v>NOT ASSIGNED</v>
      </c>
    </row>
    <row r="201" spans="2:7">
      <c r="B201" s="209">
        <v>1197</v>
      </c>
      <c r="C201" s="210" t="str">
        <f>IF(ISERROR(VLOOKUP(B201,Data!$F$3:$H$500,3,FALSE)),"N/A",VLOOKUP(B201,Data!$F$3:$H$500,3,FALSE))</f>
        <v>N/A</v>
      </c>
      <c r="D201" s="222" t="str">
        <f t="shared" si="9"/>
        <v xml:space="preserve"> </v>
      </c>
      <c r="E201" s="220" t="str">
        <f t="shared" si="10"/>
        <v xml:space="preserve"> </v>
      </c>
      <c r="F201" s="220" t="str">
        <f t="shared" si="11"/>
        <v xml:space="preserve"> </v>
      </c>
      <c r="G201" s="211" t="str">
        <f>IF(ISERROR(INDEX(Data!$C$3:$F$500,MATCH('Item IDs'!B201,Data!$F$3:$F$500,0),1)),"NOT ASSIGNED",INDEX(Data!$C$3:$F$500,MATCH('Item IDs'!B201,Data!$F$3:$F$500,0),1))</f>
        <v>NOT ASSIGNED</v>
      </c>
    </row>
    <row r="202" spans="2:7">
      <c r="B202" s="209">
        <v>1198</v>
      </c>
      <c r="C202" s="210" t="str">
        <f>IF(ISERROR(VLOOKUP(B202,Data!$F$3:$H$500,3,FALSE)),"N/A",VLOOKUP(B202,Data!$F$3:$H$500,3,FALSE))</f>
        <v>N/A</v>
      </c>
      <c r="D202" s="222" t="str">
        <f t="shared" si="9"/>
        <v xml:space="preserve"> </v>
      </c>
      <c r="E202" s="220" t="str">
        <f t="shared" si="10"/>
        <v xml:space="preserve"> </v>
      </c>
      <c r="F202" s="220" t="str">
        <f t="shared" si="11"/>
        <v xml:space="preserve"> </v>
      </c>
      <c r="G202" s="211" t="str">
        <f>IF(ISERROR(INDEX(Data!$C$3:$F$500,MATCH('Item IDs'!B202,Data!$F$3:$F$500,0),1)),"NOT ASSIGNED",INDEX(Data!$C$3:$F$500,MATCH('Item IDs'!B202,Data!$F$3:$F$500,0),1))</f>
        <v>NOT ASSIGNED</v>
      </c>
    </row>
    <row r="203" spans="2:7">
      <c r="B203" s="209">
        <v>1199</v>
      </c>
      <c r="C203" s="210" t="str">
        <f>IF(ISERROR(VLOOKUP(B203,Data!$F$3:$H$500,3,FALSE)),"N/A",VLOOKUP(B203,Data!$F$3:$H$500,3,FALSE))</f>
        <v>N/A</v>
      </c>
      <c r="D203" s="222" t="str">
        <f t="shared" si="9"/>
        <v xml:space="preserve"> </v>
      </c>
      <c r="E203" s="220" t="str">
        <f t="shared" si="10"/>
        <v xml:space="preserve"> </v>
      </c>
      <c r="F203" s="220" t="str">
        <f t="shared" si="11"/>
        <v xml:space="preserve"> </v>
      </c>
      <c r="G203" s="211" t="str">
        <f>IF(ISERROR(INDEX(Data!$C$3:$F$500,MATCH('Item IDs'!B203,Data!$F$3:$F$500,0),1)),"NOT ASSIGNED",INDEX(Data!$C$3:$F$500,MATCH('Item IDs'!B203,Data!$F$3:$F$500,0),1))</f>
        <v>NOT ASSIGNED</v>
      </c>
    </row>
    <row r="204" spans="2:7">
      <c r="B204" s="212">
        <v>1200</v>
      </c>
      <c r="C204" s="213" t="str">
        <f>IF(ISERROR(VLOOKUP(B204,Data!$F$3:$H$500,3,FALSE)),"N/A",VLOOKUP(B204,Data!$F$3:$H$500,3,FALSE))</f>
        <v>N/A</v>
      </c>
      <c r="D204" s="223" t="str">
        <f t="shared" si="9"/>
        <v xml:space="preserve"> </v>
      </c>
      <c r="E204" s="221" t="str">
        <f t="shared" si="10"/>
        <v xml:space="preserve"> </v>
      </c>
      <c r="F204" s="221" t="str">
        <f t="shared" si="11"/>
        <v xml:space="preserve"> </v>
      </c>
      <c r="G204" s="214" t="str">
        <f>IF(ISERROR(INDEX(Data!$C$3:$F$500,MATCH('Item IDs'!B204,Data!$F$3:$F$500,0),1)),"NOT ASSIGNED",INDEX(Data!$C$3:$F$500,MATCH('Item IDs'!B204,Data!$F$3:$F$500,0),1))</f>
        <v>NOT ASSIGNED</v>
      </c>
    </row>
    <row r="205" spans="2:7">
      <c r="B205" s="202"/>
      <c r="C205" s="202"/>
      <c r="D205" s="202"/>
      <c r="E205" s="202"/>
      <c r="F205" s="202"/>
      <c r="G205" s="201"/>
    </row>
    <row r="206" spans="2:7">
      <c r="B206" s="202"/>
      <c r="C206" s="202"/>
      <c r="D206" s="202"/>
      <c r="E206" s="202"/>
      <c r="F206" s="202"/>
      <c r="G206" s="201"/>
    </row>
    <row r="207" spans="2:7">
      <c r="B207" s="202"/>
      <c r="C207" s="202"/>
      <c r="D207" s="202"/>
      <c r="E207" s="202"/>
      <c r="F207" s="202"/>
      <c r="G207" s="201"/>
    </row>
    <row r="208" spans="2:7">
      <c r="B208" s="202"/>
      <c r="C208" s="202"/>
      <c r="D208" s="202"/>
      <c r="E208" s="202"/>
      <c r="F208" s="202"/>
      <c r="G208" s="201"/>
    </row>
    <row r="209" spans="2:7">
      <c r="B209" s="202"/>
      <c r="C209" s="202"/>
      <c r="D209" s="202"/>
      <c r="E209" s="202"/>
      <c r="F209" s="202"/>
      <c r="G209" s="201"/>
    </row>
    <row r="210" spans="2:7">
      <c r="B210" s="202"/>
      <c r="C210" s="202"/>
      <c r="D210" s="202"/>
      <c r="E210" s="202"/>
      <c r="F210" s="202"/>
      <c r="G210" s="201"/>
    </row>
    <row r="211" spans="2:7">
      <c r="B211" s="202"/>
      <c r="C211" s="202"/>
      <c r="D211" s="202"/>
      <c r="E211" s="202"/>
      <c r="F211" s="202"/>
      <c r="G211" s="201"/>
    </row>
    <row r="212" spans="2:7">
      <c r="B212" s="202"/>
      <c r="C212" s="202"/>
      <c r="D212" s="202"/>
      <c r="E212" s="202"/>
      <c r="F212" s="202"/>
      <c r="G212" s="201"/>
    </row>
    <row r="213" spans="2:7">
      <c r="B213" s="202"/>
      <c r="C213" s="202"/>
      <c r="D213" s="202"/>
      <c r="E213" s="202"/>
      <c r="F213" s="202"/>
      <c r="G213" s="201"/>
    </row>
    <row r="214" spans="2:7">
      <c r="B214" s="202"/>
      <c r="C214" s="202"/>
      <c r="D214" s="202"/>
      <c r="E214" s="202"/>
      <c r="F214" s="202"/>
      <c r="G214" s="201"/>
    </row>
    <row r="215" spans="2:7">
      <c r="B215" s="202"/>
      <c r="C215" s="202"/>
      <c r="D215" s="202"/>
      <c r="E215" s="202"/>
      <c r="F215" s="202"/>
      <c r="G215" s="201"/>
    </row>
    <row r="216" spans="2:7">
      <c r="B216" s="202"/>
      <c r="C216" s="202"/>
      <c r="D216" s="202"/>
      <c r="E216" s="202"/>
      <c r="F216" s="202"/>
      <c r="G216" s="201"/>
    </row>
    <row r="217" spans="2:7">
      <c r="B217" s="202"/>
      <c r="C217" s="202"/>
      <c r="D217" s="202"/>
      <c r="E217" s="202"/>
      <c r="F217" s="202"/>
      <c r="G217" s="201"/>
    </row>
    <row r="218" spans="2:7">
      <c r="B218" s="202"/>
      <c r="C218" s="202"/>
      <c r="D218" s="202"/>
      <c r="E218" s="202"/>
      <c r="F218" s="202"/>
      <c r="G218" s="201"/>
    </row>
    <row r="219" spans="2:7">
      <c r="B219" s="202"/>
      <c r="C219" s="202"/>
      <c r="D219" s="202"/>
      <c r="E219" s="202"/>
      <c r="F219" s="202"/>
      <c r="G219" s="201"/>
    </row>
    <row r="220" spans="2:7">
      <c r="B220" s="202"/>
      <c r="C220" s="202"/>
      <c r="D220" s="202"/>
      <c r="E220" s="202"/>
      <c r="F220" s="202"/>
      <c r="G220" s="201"/>
    </row>
    <row r="221" spans="2:7">
      <c r="B221" s="202"/>
      <c r="C221" s="202"/>
      <c r="D221" s="202"/>
      <c r="E221" s="202"/>
      <c r="F221" s="202"/>
      <c r="G221" s="201"/>
    </row>
    <row r="222" spans="2:7">
      <c r="B222" s="202"/>
      <c r="C222" s="202"/>
      <c r="D222" s="202"/>
      <c r="E222" s="202"/>
      <c r="F222" s="202"/>
      <c r="G222" s="201"/>
    </row>
    <row r="223" spans="2:7">
      <c r="B223" s="202"/>
      <c r="C223" s="202"/>
      <c r="D223" s="202"/>
      <c r="E223" s="202"/>
      <c r="F223" s="202"/>
      <c r="G223" s="201"/>
    </row>
    <row r="224" spans="2:7">
      <c r="B224" s="202"/>
      <c r="C224" s="202"/>
      <c r="D224" s="202"/>
      <c r="E224" s="202"/>
      <c r="F224" s="202"/>
      <c r="G224" s="201"/>
    </row>
    <row r="225" spans="2:7">
      <c r="B225" s="202"/>
      <c r="C225" s="202"/>
      <c r="D225" s="202"/>
      <c r="E225" s="202"/>
      <c r="F225" s="202"/>
      <c r="G225" s="201"/>
    </row>
    <row r="226" spans="2:7">
      <c r="B226" s="202"/>
      <c r="C226" s="202"/>
      <c r="D226" s="202"/>
      <c r="E226" s="202"/>
      <c r="F226" s="202"/>
      <c r="G226" s="201"/>
    </row>
    <row r="227" spans="2:7">
      <c r="B227" s="202"/>
      <c r="C227" s="202"/>
      <c r="D227" s="202"/>
      <c r="E227" s="202"/>
      <c r="F227" s="202"/>
      <c r="G227" s="201"/>
    </row>
    <row r="228" spans="2:7">
      <c r="B228" s="202"/>
      <c r="C228" s="202"/>
      <c r="D228" s="202"/>
      <c r="E228" s="202"/>
      <c r="F228" s="202"/>
      <c r="G228" s="201"/>
    </row>
    <row r="229" spans="2:7">
      <c r="B229" s="202"/>
      <c r="C229" s="202"/>
      <c r="D229" s="202"/>
      <c r="E229" s="202"/>
      <c r="F229" s="202"/>
      <c r="G229" s="201"/>
    </row>
    <row r="230" spans="2:7">
      <c r="B230" s="202"/>
      <c r="C230" s="202"/>
      <c r="D230" s="202"/>
      <c r="E230" s="202"/>
      <c r="F230" s="202"/>
      <c r="G230" s="201"/>
    </row>
    <row r="231" spans="2:7">
      <c r="B231" s="202"/>
      <c r="C231" s="202"/>
      <c r="D231" s="202"/>
      <c r="E231" s="202"/>
      <c r="F231" s="202"/>
      <c r="G231" s="201"/>
    </row>
    <row r="232" spans="2:7">
      <c r="B232" s="202"/>
      <c r="C232" s="202"/>
      <c r="D232" s="202"/>
      <c r="E232" s="202"/>
      <c r="F232" s="202"/>
      <c r="G232" s="201"/>
    </row>
    <row r="233" spans="2:7">
      <c r="B233" s="202"/>
      <c r="C233" s="202"/>
      <c r="D233" s="202"/>
      <c r="E233" s="202"/>
      <c r="F233" s="202"/>
      <c r="G233" s="201"/>
    </row>
    <row r="234" spans="2:7">
      <c r="B234" s="202"/>
      <c r="C234" s="202"/>
      <c r="D234" s="202"/>
      <c r="E234" s="202"/>
      <c r="F234" s="202"/>
      <c r="G234" s="201"/>
    </row>
    <row r="235" spans="2:7">
      <c r="B235" s="202"/>
      <c r="C235" s="202"/>
      <c r="D235" s="202"/>
      <c r="E235" s="202"/>
      <c r="F235" s="202"/>
      <c r="G235" s="201"/>
    </row>
    <row r="236" spans="2:7">
      <c r="B236" s="202"/>
      <c r="C236" s="202"/>
      <c r="D236" s="202"/>
      <c r="E236" s="202"/>
      <c r="F236" s="202"/>
      <c r="G236" s="201"/>
    </row>
    <row r="237" spans="2:7">
      <c r="B237" s="202"/>
      <c r="C237" s="202"/>
      <c r="D237" s="202"/>
      <c r="E237" s="202"/>
      <c r="F237" s="202"/>
      <c r="G237" s="201"/>
    </row>
    <row r="238" spans="2:7">
      <c r="B238" s="202"/>
      <c r="C238" s="202"/>
      <c r="D238" s="202"/>
      <c r="E238" s="202"/>
      <c r="F238" s="202"/>
      <c r="G238" s="201"/>
    </row>
    <row r="239" spans="2:7">
      <c r="B239" s="202"/>
      <c r="C239" s="202"/>
      <c r="D239" s="202"/>
      <c r="E239" s="202"/>
      <c r="F239" s="202"/>
      <c r="G239" s="201"/>
    </row>
    <row r="240" spans="2:7">
      <c r="B240" s="202"/>
      <c r="C240" s="202"/>
      <c r="D240" s="202"/>
      <c r="E240" s="202"/>
      <c r="F240" s="202"/>
      <c r="G240" s="201"/>
    </row>
    <row r="241" spans="2:7">
      <c r="B241" s="202"/>
      <c r="C241" s="202"/>
      <c r="D241" s="202"/>
      <c r="E241" s="202"/>
      <c r="F241" s="202"/>
      <c r="G241" s="201"/>
    </row>
    <row r="242" spans="2:7">
      <c r="B242" s="202"/>
      <c r="C242" s="202"/>
      <c r="D242" s="202"/>
      <c r="E242" s="202"/>
      <c r="F242" s="202"/>
      <c r="G242" s="201"/>
    </row>
    <row r="243" spans="2:7">
      <c r="B243" s="202"/>
      <c r="C243" s="202"/>
      <c r="D243" s="202"/>
      <c r="E243" s="202"/>
      <c r="F243" s="202"/>
      <c r="G243" s="201"/>
    </row>
    <row r="244" spans="2:7">
      <c r="B244" s="202"/>
      <c r="C244" s="202"/>
      <c r="D244" s="202"/>
      <c r="E244" s="202"/>
      <c r="F244" s="202"/>
      <c r="G244" s="201"/>
    </row>
    <row r="245" spans="2:7">
      <c r="B245" s="202"/>
      <c r="C245" s="202"/>
      <c r="D245" s="202"/>
      <c r="E245" s="202"/>
      <c r="F245" s="202"/>
      <c r="G245" s="201"/>
    </row>
    <row r="246" spans="2:7">
      <c r="B246" s="202"/>
      <c r="C246" s="202"/>
      <c r="D246" s="202"/>
      <c r="E246" s="202"/>
      <c r="F246" s="202"/>
      <c r="G246" s="201"/>
    </row>
    <row r="247" spans="2:7">
      <c r="B247" s="202"/>
      <c r="C247" s="202"/>
      <c r="D247" s="202"/>
      <c r="E247" s="202"/>
      <c r="F247" s="202"/>
      <c r="G247" s="201"/>
    </row>
    <row r="248" spans="2:7">
      <c r="B248" s="202"/>
      <c r="C248" s="202"/>
      <c r="D248" s="202"/>
      <c r="E248" s="202"/>
      <c r="F248" s="202"/>
      <c r="G248" s="201"/>
    </row>
    <row r="249" spans="2:7">
      <c r="B249" s="202"/>
      <c r="C249" s="202"/>
      <c r="D249" s="202"/>
      <c r="E249" s="202"/>
      <c r="F249" s="202"/>
      <c r="G249" s="201"/>
    </row>
    <row r="250" spans="2:7">
      <c r="B250" s="202"/>
      <c r="C250" s="202"/>
      <c r="D250" s="202"/>
      <c r="E250" s="202"/>
      <c r="F250" s="202"/>
      <c r="G250" s="201"/>
    </row>
    <row r="251" spans="2:7">
      <c r="B251" s="202"/>
      <c r="C251" s="202"/>
      <c r="D251" s="202"/>
      <c r="E251" s="202"/>
      <c r="F251" s="202"/>
      <c r="G251" s="201"/>
    </row>
    <row r="252" spans="2:7">
      <c r="B252" s="202"/>
      <c r="C252" s="202"/>
      <c r="D252" s="202"/>
      <c r="E252" s="202"/>
      <c r="F252" s="202"/>
      <c r="G252" s="201"/>
    </row>
    <row r="253" spans="2:7">
      <c r="B253" s="202"/>
      <c r="C253" s="202"/>
      <c r="D253" s="202"/>
      <c r="E253" s="202"/>
      <c r="F253" s="202"/>
      <c r="G253" s="201"/>
    </row>
    <row r="254" spans="2:7">
      <c r="B254" s="202"/>
      <c r="C254" s="202"/>
      <c r="D254" s="202"/>
      <c r="E254" s="202"/>
      <c r="F254" s="202"/>
      <c r="G254" s="201"/>
    </row>
    <row r="255" spans="2:7">
      <c r="B255" s="202"/>
      <c r="C255" s="202"/>
      <c r="D255" s="202"/>
      <c r="E255" s="202"/>
      <c r="F255" s="202"/>
      <c r="G255" s="201"/>
    </row>
    <row r="256" spans="2:7">
      <c r="B256" s="202"/>
      <c r="C256" s="202"/>
      <c r="D256" s="202"/>
      <c r="E256" s="202"/>
      <c r="F256" s="202"/>
      <c r="G256" s="201"/>
    </row>
    <row r="257" spans="2:7">
      <c r="B257" s="202"/>
      <c r="C257" s="202"/>
      <c r="D257" s="202"/>
      <c r="E257" s="202"/>
      <c r="F257" s="202"/>
      <c r="G257" s="201"/>
    </row>
    <row r="258" spans="2:7">
      <c r="B258" s="202"/>
      <c r="C258" s="202"/>
      <c r="D258" s="202"/>
      <c r="E258" s="202"/>
      <c r="F258" s="202"/>
      <c r="G258" s="201"/>
    </row>
    <row r="259" spans="2:7">
      <c r="B259" s="202"/>
      <c r="C259" s="202"/>
      <c r="D259" s="202"/>
      <c r="E259" s="202"/>
      <c r="F259" s="202"/>
      <c r="G259" s="201"/>
    </row>
    <row r="260" spans="2:7">
      <c r="B260" s="202"/>
      <c r="C260" s="202"/>
      <c r="D260" s="202"/>
      <c r="E260" s="202"/>
      <c r="F260" s="202"/>
      <c r="G260" s="201"/>
    </row>
    <row r="261" spans="2:7">
      <c r="B261" s="202"/>
      <c r="C261" s="202"/>
      <c r="D261" s="202"/>
      <c r="E261" s="202"/>
      <c r="F261" s="202"/>
      <c r="G261" s="201"/>
    </row>
    <row r="262" spans="2:7">
      <c r="B262" s="202"/>
      <c r="C262" s="202"/>
      <c r="D262" s="202"/>
      <c r="E262" s="202"/>
      <c r="F262" s="202"/>
      <c r="G262" s="201"/>
    </row>
    <row r="263" spans="2:7">
      <c r="B263" s="202"/>
      <c r="C263" s="202"/>
      <c r="D263" s="202"/>
      <c r="E263" s="202"/>
      <c r="F263" s="202"/>
      <c r="G263" s="201"/>
    </row>
    <row r="264" spans="2:7">
      <c r="B264" s="202"/>
      <c r="C264" s="202"/>
      <c r="D264" s="202"/>
      <c r="E264" s="202"/>
      <c r="F264" s="202"/>
      <c r="G264" s="201"/>
    </row>
    <row r="265" spans="2:7">
      <c r="B265" s="202"/>
      <c r="C265" s="202"/>
      <c r="D265" s="202"/>
      <c r="E265" s="202"/>
      <c r="F265" s="202"/>
      <c r="G265" s="201"/>
    </row>
    <row r="266" spans="2:7">
      <c r="B266" s="202"/>
      <c r="C266" s="202"/>
      <c r="D266" s="202"/>
      <c r="E266" s="202"/>
      <c r="F266" s="202"/>
      <c r="G266" s="201"/>
    </row>
    <row r="267" spans="2:7">
      <c r="B267" s="202"/>
      <c r="C267" s="202"/>
      <c r="D267" s="202"/>
      <c r="E267" s="202"/>
      <c r="F267" s="202"/>
      <c r="G267" s="201"/>
    </row>
    <row r="268" spans="2:7">
      <c r="B268" s="202"/>
      <c r="C268" s="202"/>
      <c r="D268" s="202"/>
      <c r="E268" s="202"/>
      <c r="F268" s="202"/>
      <c r="G268" s="201"/>
    </row>
    <row r="269" spans="2:7">
      <c r="B269" s="202"/>
      <c r="C269" s="202"/>
      <c r="D269" s="202"/>
      <c r="E269" s="202"/>
      <c r="F269" s="202"/>
      <c r="G269" s="201"/>
    </row>
    <row r="270" spans="2:7">
      <c r="B270" s="202"/>
      <c r="C270" s="202"/>
      <c r="D270" s="202"/>
      <c r="E270" s="202"/>
      <c r="F270" s="202"/>
      <c r="G270" s="201"/>
    </row>
    <row r="271" spans="2:7">
      <c r="B271" s="202"/>
      <c r="C271" s="202"/>
      <c r="D271" s="202"/>
      <c r="E271" s="202"/>
      <c r="F271" s="202"/>
      <c r="G271" s="201"/>
    </row>
    <row r="272" spans="2:7">
      <c r="B272" s="202"/>
      <c r="C272" s="202"/>
      <c r="D272" s="202"/>
      <c r="E272" s="202"/>
      <c r="F272" s="202"/>
      <c r="G272" s="201"/>
    </row>
    <row r="273" spans="2:7">
      <c r="B273" s="202"/>
      <c r="C273" s="202"/>
      <c r="D273" s="202"/>
      <c r="E273" s="202"/>
      <c r="F273" s="202"/>
      <c r="G273" s="201"/>
    </row>
    <row r="274" spans="2:7">
      <c r="B274" s="202"/>
      <c r="C274" s="202"/>
      <c r="D274" s="202"/>
      <c r="E274" s="202"/>
      <c r="F274" s="202"/>
      <c r="G274" s="201"/>
    </row>
    <row r="275" spans="2:7">
      <c r="B275" s="202"/>
      <c r="C275" s="202"/>
      <c r="D275" s="202"/>
      <c r="E275" s="202"/>
      <c r="F275" s="202"/>
      <c r="G275" s="201"/>
    </row>
    <row r="276" spans="2:7">
      <c r="B276" s="202"/>
      <c r="C276" s="202"/>
      <c r="D276" s="202"/>
      <c r="E276" s="202"/>
      <c r="F276" s="202"/>
      <c r="G276" s="201"/>
    </row>
    <row r="277" spans="2:7">
      <c r="B277" s="202"/>
      <c r="C277" s="202"/>
      <c r="D277" s="202"/>
      <c r="E277" s="202"/>
      <c r="F277" s="202"/>
      <c r="G277" s="201"/>
    </row>
    <row r="278" spans="2:7">
      <c r="B278" s="202"/>
      <c r="C278" s="202"/>
      <c r="D278" s="202"/>
      <c r="E278" s="202"/>
      <c r="F278" s="202"/>
      <c r="G278" s="201"/>
    </row>
    <row r="279" spans="2:7">
      <c r="B279" s="202"/>
      <c r="C279" s="202"/>
      <c r="D279" s="202"/>
      <c r="E279" s="202"/>
      <c r="F279" s="202"/>
      <c r="G279" s="201"/>
    </row>
    <row r="280" spans="2:7">
      <c r="B280" s="202"/>
      <c r="C280" s="202"/>
      <c r="D280" s="202"/>
      <c r="E280" s="202"/>
      <c r="F280" s="202"/>
      <c r="G280" s="201"/>
    </row>
    <row r="281" spans="2:7">
      <c r="B281" s="202"/>
      <c r="C281" s="202"/>
      <c r="D281" s="202"/>
      <c r="E281" s="202"/>
      <c r="F281" s="202"/>
      <c r="G281" s="201"/>
    </row>
    <row r="282" spans="2:7">
      <c r="B282" s="202"/>
      <c r="C282" s="202"/>
      <c r="D282" s="202"/>
      <c r="E282" s="202"/>
      <c r="F282" s="202"/>
      <c r="G282" s="201"/>
    </row>
    <row r="283" spans="2:7">
      <c r="B283" s="202"/>
      <c r="C283" s="202"/>
      <c r="D283" s="202"/>
      <c r="E283" s="202"/>
      <c r="F283" s="202"/>
      <c r="G283" s="201"/>
    </row>
    <row r="284" spans="2:7">
      <c r="B284" s="202"/>
      <c r="C284" s="202"/>
      <c r="D284" s="202"/>
      <c r="E284" s="202"/>
      <c r="F284" s="202"/>
      <c r="G284" s="201"/>
    </row>
    <row r="285" spans="2:7">
      <c r="B285" s="202"/>
      <c r="C285" s="202"/>
      <c r="D285" s="202"/>
      <c r="E285" s="202"/>
      <c r="F285" s="202"/>
      <c r="G285" s="201"/>
    </row>
    <row r="286" spans="2:7">
      <c r="B286" s="202"/>
      <c r="C286" s="202"/>
      <c r="D286" s="202"/>
      <c r="E286" s="202"/>
      <c r="F286" s="202"/>
      <c r="G286" s="201"/>
    </row>
    <row r="287" spans="2:7">
      <c r="B287" s="202"/>
      <c r="C287" s="202"/>
      <c r="D287" s="202"/>
      <c r="E287" s="202"/>
      <c r="F287" s="202"/>
      <c r="G287" s="201"/>
    </row>
    <row r="288" spans="2:7">
      <c r="B288" s="202"/>
      <c r="C288" s="202"/>
      <c r="D288" s="202"/>
      <c r="E288" s="202"/>
      <c r="F288" s="202"/>
      <c r="G288" s="201"/>
    </row>
    <row r="289" spans="2:7">
      <c r="B289" s="202"/>
      <c r="C289" s="202"/>
      <c r="D289" s="202"/>
      <c r="E289" s="202"/>
      <c r="F289" s="202"/>
      <c r="G289" s="201"/>
    </row>
    <row r="290" spans="2:7">
      <c r="B290" s="202"/>
      <c r="C290" s="202"/>
      <c r="D290" s="202"/>
      <c r="E290" s="202"/>
      <c r="F290" s="202"/>
      <c r="G290" s="201"/>
    </row>
    <row r="291" spans="2:7">
      <c r="B291" s="202"/>
      <c r="C291" s="202"/>
      <c r="D291" s="202"/>
      <c r="E291" s="202"/>
      <c r="F291" s="202"/>
      <c r="G291" s="201"/>
    </row>
    <row r="292" spans="2:7">
      <c r="B292" s="202"/>
      <c r="C292" s="202"/>
      <c r="D292" s="202"/>
      <c r="E292" s="202"/>
      <c r="F292" s="202"/>
      <c r="G292" s="201"/>
    </row>
    <row r="293" spans="2:7">
      <c r="B293" s="202"/>
      <c r="C293" s="202"/>
      <c r="D293" s="202"/>
      <c r="E293" s="202"/>
      <c r="F293" s="202"/>
      <c r="G293" s="201"/>
    </row>
    <row r="294" spans="2:7">
      <c r="B294" s="202"/>
      <c r="C294" s="202"/>
      <c r="D294" s="202"/>
      <c r="E294" s="202"/>
      <c r="F294" s="202"/>
      <c r="G294" s="201"/>
    </row>
    <row r="295" spans="2:7">
      <c r="B295" s="202"/>
      <c r="C295" s="202"/>
      <c r="D295" s="202"/>
      <c r="E295" s="202"/>
      <c r="F295" s="202"/>
      <c r="G295" s="201"/>
    </row>
    <row r="296" spans="2:7">
      <c r="B296" s="202"/>
      <c r="C296" s="202"/>
      <c r="D296" s="202"/>
      <c r="E296" s="202"/>
      <c r="F296" s="202"/>
      <c r="G296" s="201"/>
    </row>
    <row r="297" spans="2:7">
      <c r="B297" s="202"/>
      <c r="C297" s="202"/>
      <c r="D297" s="202"/>
      <c r="E297" s="202"/>
      <c r="F297" s="202"/>
      <c r="G297" s="201"/>
    </row>
    <row r="298" spans="2:7">
      <c r="B298" s="202"/>
      <c r="C298" s="202"/>
      <c r="D298" s="202"/>
      <c r="E298" s="202"/>
      <c r="F298" s="202"/>
      <c r="G298" s="201"/>
    </row>
    <row r="299" spans="2:7">
      <c r="B299" s="202"/>
      <c r="C299" s="202"/>
      <c r="D299" s="202"/>
      <c r="E299" s="202"/>
      <c r="F299" s="202"/>
      <c r="G299" s="201"/>
    </row>
    <row r="300" spans="2:7">
      <c r="B300" s="202"/>
      <c r="C300" s="202"/>
      <c r="D300" s="202"/>
      <c r="E300" s="202"/>
      <c r="F300" s="202"/>
      <c r="G300" s="201"/>
    </row>
    <row r="301" spans="2:7">
      <c r="B301" s="202"/>
      <c r="C301" s="202"/>
      <c r="D301" s="202"/>
      <c r="E301" s="202"/>
      <c r="F301" s="202"/>
      <c r="G301" s="201"/>
    </row>
    <row r="302" spans="2:7">
      <c r="B302" s="202"/>
      <c r="C302" s="202"/>
      <c r="D302" s="202"/>
      <c r="E302" s="202"/>
      <c r="F302" s="202"/>
      <c r="G302" s="201"/>
    </row>
    <row r="303" spans="2:7">
      <c r="B303" s="202"/>
      <c r="C303" s="202"/>
      <c r="D303" s="202"/>
      <c r="E303" s="202"/>
      <c r="F303" s="202"/>
      <c r="G303" s="201"/>
    </row>
    <row r="304" spans="2:7">
      <c r="B304" s="202"/>
      <c r="C304" s="202"/>
      <c r="D304" s="202"/>
      <c r="E304" s="202"/>
      <c r="F304" s="202"/>
      <c r="G304" s="201"/>
    </row>
    <row r="305" spans="2:7">
      <c r="B305" s="202"/>
      <c r="C305" s="202"/>
      <c r="D305" s="202"/>
      <c r="E305" s="202"/>
      <c r="F305" s="202"/>
      <c r="G305" s="201"/>
    </row>
    <row r="306" spans="2:7">
      <c r="B306" s="202"/>
      <c r="C306" s="202"/>
      <c r="D306" s="202"/>
      <c r="E306" s="202"/>
      <c r="F306" s="202"/>
      <c r="G306" s="201"/>
    </row>
    <row r="307" spans="2:7">
      <c r="B307" s="202"/>
      <c r="C307" s="202"/>
      <c r="D307" s="202"/>
      <c r="E307" s="202"/>
      <c r="F307" s="202"/>
      <c r="G307" s="201"/>
    </row>
    <row r="308" spans="2:7">
      <c r="B308" s="202"/>
      <c r="C308" s="202"/>
      <c r="D308" s="202"/>
      <c r="E308" s="202"/>
      <c r="F308" s="202"/>
      <c r="G308" s="201"/>
    </row>
    <row r="309" spans="2:7">
      <c r="B309" s="202"/>
      <c r="C309" s="202"/>
      <c r="D309" s="202"/>
      <c r="E309" s="202"/>
      <c r="F309" s="202"/>
      <c r="G309" s="201"/>
    </row>
    <row r="310" spans="2:7">
      <c r="B310" s="202"/>
      <c r="C310" s="202"/>
      <c r="D310" s="202"/>
      <c r="E310" s="202"/>
      <c r="F310" s="202"/>
      <c r="G310" s="201"/>
    </row>
    <row r="311" spans="2:7">
      <c r="B311" s="202"/>
      <c r="C311" s="202"/>
      <c r="D311" s="202"/>
      <c r="E311" s="202"/>
      <c r="F311" s="202"/>
      <c r="G311" s="201"/>
    </row>
    <row r="312" spans="2:7">
      <c r="B312" s="202"/>
      <c r="C312" s="202"/>
      <c r="D312" s="202"/>
      <c r="E312" s="202"/>
      <c r="F312" s="202"/>
      <c r="G312" s="201"/>
    </row>
    <row r="313" spans="2:7">
      <c r="B313" s="202"/>
      <c r="C313" s="202"/>
      <c r="D313" s="202"/>
      <c r="E313" s="202"/>
      <c r="F313" s="202"/>
      <c r="G313" s="201"/>
    </row>
    <row r="314" spans="2:7">
      <c r="B314" s="202"/>
      <c r="C314" s="202"/>
      <c r="D314" s="202"/>
      <c r="E314" s="202"/>
      <c r="F314" s="202"/>
      <c r="G314" s="201"/>
    </row>
    <row r="315" spans="2:7">
      <c r="B315" s="202"/>
      <c r="C315" s="202"/>
      <c r="D315" s="202"/>
      <c r="E315" s="202"/>
      <c r="F315" s="202"/>
      <c r="G315" s="201"/>
    </row>
    <row r="316" spans="2:7">
      <c r="B316" s="202"/>
      <c r="C316" s="202"/>
      <c r="D316" s="202"/>
      <c r="E316" s="202"/>
      <c r="F316" s="202"/>
      <c r="G316" s="201"/>
    </row>
    <row r="317" spans="2:7">
      <c r="B317" s="202"/>
      <c r="C317" s="202"/>
      <c r="D317" s="202"/>
      <c r="E317" s="202"/>
      <c r="F317" s="202"/>
      <c r="G317" s="201"/>
    </row>
    <row r="318" spans="2:7">
      <c r="B318" s="202"/>
      <c r="C318" s="202"/>
      <c r="D318" s="202"/>
      <c r="E318" s="202"/>
      <c r="F318" s="202"/>
      <c r="G318" s="201"/>
    </row>
    <row r="319" spans="2:7">
      <c r="B319" s="202"/>
      <c r="C319" s="202"/>
      <c r="D319" s="202"/>
      <c r="E319" s="202"/>
      <c r="F319" s="202"/>
      <c r="G319" s="201"/>
    </row>
    <row r="320" spans="2:7">
      <c r="B320" s="202"/>
      <c r="C320" s="202"/>
      <c r="D320" s="202"/>
      <c r="E320" s="202"/>
      <c r="F320" s="202"/>
      <c r="G320" s="201"/>
    </row>
    <row r="321" spans="2:7">
      <c r="B321" s="202"/>
      <c r="C321" s="202"/>
      <c r="D321" s="202"/>
      <c r="E321" s="202"/>
      <c r="F321" s="202"/>
      <c r="G321" s="201"/>
    </row>
    <row r="322" spans="2:7">
      <c r="B322" s="202"/>
      <c r="C322" s="202"/>
      <c r="D322" s="202"/>
      <c r="E322" s="202"/>
      <c r="F322" s="202"/>
      <c r="G322" s="201"/>
    </row>
    <row r="323" spans="2:7">
      <c r="B323" s="202"/>
      <c r="C323" s="202"/>
      <c r="D323" s="202"/>
      <c r="E323" s="202"/>
      <c r="F323" s="202"/>
      <c r="G323" s="201"/>
    </row>
    <row r="324" spans="2:7">
      <c r="B324" s="202"/>
      <c r="C324" s="202"/>
      <c r="D324" s="202"/>
      <c r="E324" s="202"/>
      <c r="F324" s="202"/>
      <c r="G324" s="201"/>
    </row>
  </sheetData>
  <sheetProtection password="D9BE" sheet="1"/>
  <autoFilter ref="B4:G204">
    <sortState ref="B5:G204">
      <sortCondition ref="B4:B204"/>
    </sortState>
  </autoFilter>
  <phoneticPr fontId="11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2" ma:contentTypeDescription="Create a new document." ma:contentTypeScope="" ma:versionID="9bbfddff326bc14f5b38223697534f01">
  <xsd:schema xmlns:xsd="http://www.w3.org/2001/XMLSchema" xmlns:p="http://schemas.microsoft.com/office/2006/metadata/properties" xmlns:ns1="http://schemas.microsoft.com/sharepoint/v3" xmlns:ns2="c55bd289-69bc-4346-b6d0-143df9189783" xmlns:ns3="http://schemas.microsoft.com/sharepoint/3.0" targetNamespace="http://schemas.microsoft.com/office/2006/metadata/properties" ma:root="true" ma:fieldsID="f3a60a6a0fe6e1e997da407a7c597b44" ns1:_="" ns2:_="" ns3:_="">
    <xsd:import namespace="http://schemas.microsoft.com/sharepoint/v3"/>
    <xsd:import namespace="c55bd289-69bc-4346-b6d0-143df9189783"/>
    <xsd:import namespace="http://schemas.microsoft.com/sharepoint/3.0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c55bd289-69bc-4346-b6d0-143df9189783" elementFormDefault="qualified">
    <xsd:import namespace="http://schemas.microsoft.com/office/2006/documentManagement/types"/>
    <xsd:element name="Description0" ma:index="2" nillable="true" ma:displayName="Description" ma:internalName="Description0">
      <xsd:simpleType>
        <xsd:restriction base="dms:Note"/>
      </xsd:simpleType>
    </xsd:element>
  </xsd:schema>
  <xsd:schema xmlns:xsd="http://www.w3.org/2001/XMLSchema" xmlns:dms="http://schemas.microsoft.com/office/2006/documentManagement/types" targetNamespace="http://schemas.microsoft.com/sharepoint/3.0" elementFormDefault="qualified">
    <xsd:import namespace="http://schemas.microsoft.com/office/2006/documentManagement/types"/>
    <xsd:element name="EmailNotification" ma:index="3" nillable="true" ma:displayName="Notification" ma:hidden="true" ma:internalName="EmailNotificat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27 January 2014</Description0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3616B-88BD-4A44-B870-91D5A7811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5bd289-69bc-4346-b6d0-143df9189783"/>
    <ds:schemaRef ds:uri="http://schemas.microsoft.com/sharepoint/3.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410210-F515-4625-853A-DC2EAA679800}">
  <ds:schemaRefs>
    <ds:schemaRef ds:uri="http://schemas.microsoft.com/sharepoint/3.0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c55bd289-69bc-4346-b6d0-143df918978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Data</vt:lpstr>
      <vt:lpstr>Parameters</vt:lpstr>
      <vt:lpstr>Item IDs</vt:lpstr>
      <vt:lpstr>Data!_ftnref1</vt:lpstr>
      <vt:lpstr>AccountingStandard</vt:lpstr>
      <vt:lpstr>ChecksColumn</vt:lpstr>
      <vt:lpstr>ChecksResponses</vt:lpstr>
      <vt:lpstr>CountryCode</vt:lpstr>
      <vt:lpstr>PanelHeaders1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End-2013 GSIB reporting template</dc:title>
  <dc:creator/>
  <cp:lastModifiedBy/>
  <dcterms:created xsi:type="dcterms:W3CDTF">2013-05-04T02:23:23Z</dcterms:created>
  <dcterms:modified xsi:type="dcterms:W3CDTF">2015-01-30T13:15:28Z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</Properties>
</file>